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anna.rusieshvili\Desktop\WEB info\WEB 2019\October\"/>
    </mc:Choice>
  </mc:AlternateContent>
  <bookViews>
    <workbookView xWindow="11130" yWindow="2520" windowWidth="11190" windowHeight="9660" tabRatio="200"/>
  </bookViews>
  <sheets>
    <sheet name="WEB-2019" sheetId="12" r:id="rId1"/>
  </sheets>
  <definedNames>
    <definedName name="_xlnm.Print_Area" localSheetId="0">'WEB-2019'!$A$1:$N$96</definedName>
    <definedName name="_xlnm.Print_Titles" localSheetId="0">'WEB-2019'!$A:$A,'WEB-2019'!$4:$6</definedName>
  </definedNames>
  <calcPr calcId="162913"/>
</workbook>
</file>

<file path=xl/calcChain.xml><?xml version="1.0" encoding="utf-8"?>
<calcChain xmlns="http://schemas.openxmlformats.org/spreadsheetml/2006/main">
  <c r="K53" i="12" l="1"/>
  <c r="G63" i="12" l="1"/>
  <c r="K88" i="12"/>
  <c r="K80" i="12" l="1"/>
  <c r="I7" i="12"/>
  <c r="K25" i="12" l="1"/>
  <c r="L87" i="12" l="1"/>
  <c r="K89" i="12"/>
  <c r="K90" i="12"/>
  <c r="K92" i="12"/>
  <c r="H63" i="12" l="1"/>
  <c r="I63" i="12"/>
  <c r="J63" i="12"/>
  <c r="L63" i="12"/>
  <c r="I54" i="12" l="1"/>
  <c r="K12" i="12" l="1"/>
  <c r="K10" i="12"/>
  <c r="K14" i="12" l="1"/>
  <c r="J36" i="12" l="1"/>
  <c r="I36" i="12"/>
  <c r="K51" i="12"/>
  <c r="J86" i="12" l="1"/>
  <c r="I86" i="12"/>
  <c r="H86" i="12"/>
  <c r="G86" i="12"/>
  <c r="J54" i="12" l="1"/>
  <c r="H54" i="12"/>
  <c r="G54" i="12"/>
  <c r="G36" i="12"/>
  <c r="L17" i="12" l="1"/>
  <c r="L37" i="12"/>
  <c r="K37" i="12"/>
  <c r="K38" i="12"/>
  <c r="L39" i="12"/>
  <c r="K39" i="12"/>
  <c r="K40" i="12"/>
  <c r="K42" i="12"/>
  <c r="K43" i="12"/>
  <c r="K45" i="12"/>
  <c r="K46" i="12"/>
  <c r="L47" i="12"/>
  <c r="K47" i="12"/>
  <c r="K49" i="12"/>
  <c r="L62" i="12"/>
  <c r="L61" i="12"/>
  <c r="K61" i="12"/>
  <c r="K60" i="12"/>
  <c r="L60" i="12"/>
  <c r="L59" i="12"/>
  <c r="K59" i="12"/>
  <c r="K58" i="12"/>
  <c r="K56" i="12"/>
  <c r="L55" i="12"/>
  <c r="K55" i="12"/>
  <c r="L82" i="12"/>
  <c r="K81" i="12"/>
  <c r="L77" i="12"/>
  <c r="K77" i="12"/>
  <c r="L85" i="12"/>
  <c r="L84" i="12"/>
  <c r="L86" i="12"/>
  <c r="K33" i="12"/>
  <c r="K21" i="12"/>
  <c r="K70" i="12"/>
  <c r="K69" i="12"/>
  <c r="K66" i="12"/>
  <c r="K65" i="12"/>
  <c r="K64" i="12"/>
  <c r="K35" i="12"/>
  <c r="K34" i="12"/>
  <c r="K32" i="12"/>
  <c r="K31" i="12"/>
  <c r="K29" i="12"/>
  <c r="K20" i="12"/>
  <c r="K24" i="12"/>
  <c r="K18" i="12"/>
  <c r="K17" i="12"/>
  <c r="K16" i="12"/>
  <c r="K8" i="12"/>
  <c r="K86" i="12" l="1"/>
  <c r="K63" i="12"/>
  <c r="L36" i="12"/>
  <c r="K36" i="12"/>
  <c r="K7" i="12"/>
  <c r="K54" i="12"/>
  <c r="L54" i="12"/>
  <c r="G7" i="12"/>
  <c r="H76" i="12" l="1"/>
  <c r="L76" i="12"/>
  <c r="K76" i="12"/>
  <c r="J76" i="12"/>
  <c r="I76" i="12"/>
  <c r="G76" i="12"/>
  <c r="H36" i="12" l="1"/>
  <c r="F59" i="12" l="1"/>
  <c r="E59" i="12"/>
  <c r="E40" i="12" l="1"/>
  <c r="E57" i="12" l="1"/>
  <c r="L7" i="12" l="1"/>
  <c r="J7" i="12"/>
  <c r="H7" i="12"/>
  <c r="H83" i="12" l="1"/>
  <c r="H93" i="12" s="1"/>
  <c r="I83" i="12"/>
  <c r="I93" i="12" s="1"/>
  <c r="J83" i="12"/>
  <c r="J93" i="12" s="1"/>
  <c r="K83" i="12"/>
  <c r="G83" i="12"/>
  <c r="G93" i="12" s="1"/>
  <c r="K93" i="12" l="1"/>
  <c r="L83" i="12"/>
  <c r="L93" i="12" s="1"/>
  <c r="E56" i="12" l="1"/>
  <c r="E41" i="12"/>
  <c r="E65" i="12" l="1"/>
  <c r="F87" i="12"/>
</calcChain>
</file>

<file path=xl/sharedStrings.xml><?xml version="1.0" encoding="utf-8"?>
<sst xmlns="http://schemas.openxmlformats.org/spreadsheetml/2006/main" count="270" uniqueCount="187">
  <si>
    <t>განმახორციელებელი</t>
  </si>
  <si>
    <t>შიდასახელმწიფოებრივი და ადგილობრივი გზების პროექტი II (WB)</t>
  </si>
  <si>
    <t>რეგიონალური განვითარების პროექტი I ნაწილი (კახეთი) (WB)</t>
  </si>
  <si>
    <t>რეგიონალური განვითარების პროექტი II ნაწილი (იმერეთი) (WB)</t>
  </si>
  <si>
    <t xml:space="preserve">ურბანული მომსახურების გაუმჯობესების პროგრამა (წყალმომარაგებისა და წყალარინების სექტორი) (ADB) </t>
  </si>
  <si>
    <t>დაცული ტერიტორიების მხარდაჭერის პროგრამა კავკასიაში-საქართველო (ეკორეგიონული პროგრამა საქართველო, ფაზა III) (KfW)</t>
  </si>
  <si>
    <t>აჭარის მყარი ნარჩენების პროექტი (EBRD)</t>
  </si>
  <si>
    <t>საქართველოს გაერთიანებული წყალმომარაგების კომპანია</t>
  </si>
  <si>
    <t>ბათუმის მერია</t>
  </si>
  <si>
    <t>შპს ენგურჰესი</t>
  </si>
  <si>
    <t>პროექტი</t>
  </si>
  <si>
    <t>ენერგეტიკა</t>
  </si>
  <si>
    <t>ურბანული და მუნიციპალური ინფრასტრუქტურა</t>
  </si>
  <si>
    <t>საგზაო ინფრასტრუქტურა</t>
  </si>
  <si>
    <t>MCA-საქართველო</t>
  </si>
  <si>
    <t xml:space="preserve">წყლის ინფრასტრუქტურა </t>
  </si>
  <si>
    <t>დაცული ტერიტორიების განვითარება (CNF)</t>
  </si>
  <si>
    <t xml:space="preserve">სოფლის მეურნეობა </t>
  </si>
  <si>
    <t>სხვა</t>
  </si>
  <si>
    <t>გარემოს დაცვა</t>
  </si>
  <si>
    <t>სესხი</t>
  </si>
  <si>
    <t>გრანტი</t>
  </si>
  <si>
    <t>მდგრადი ურბანული ტრანსპორტის განვითარების საინვესტიციო პროგრამა (ADB)</t>
  </si>
  <si>
    <t>ქობულეთის წყალარინების რეაბილიტაცია (EBRD, ORET)</t>
  </si>
  <si>
    <t>SDR</t>
  </si>
  <si>
    <t>USD</t>
  </si>
  <si>
    <t>ვალუტა</t>
  </si>
  <si>
    <t>სულ</t>
  </si>
  <si>
    <t xml:space="preserve">USD </t>
  </si>
  <si>
    <t>საგზაო დერეფნის საინვესტიციო პროგრამა (ქობულეთის შემოვლითი გზა) (ADB)</t>
  </si>
  <si>
    <t>JPY</t>
  </si>
  <si>
    <t>EUR</t>
  </si>
  <si>
    <t>აღმოსავლეთ-დასავლეთის ჩქაროსნული ავტომაგისტრალის ზესტაფონი-ქუთაისი-სამტრედიის მონაკვეთის მშენებლობა (JICA)</t>
  </si>
  <si>
    <t>სს საქართველოს სახელმწიფო ელექტროსისტემა</t>
  </si>
  <si>
    <t xml:space="preserve">ხელშეკრულების ვალუტაში </t>
  </si>
  <si>
    <t>აღმოსავლეთ-დასავლეთის სატრანზიტო მაგისტრალი IV (აგარა-ზემო ოსიაური) (WB)</t>
  </si>
  <si>
    <t>საკანალიზაციო სისტემების მდგრადი მართვის პროექტი (SIDA)</t>
  </si>
  <si>
    <t>კომენტარი</t>
  </si>
  <si>
    <t xml:space="preserve">შეთანხმებული თანხა </t>
  </si>
  <si>
    <t>აჭარის ავტონომიური რესპუბლიკის ფინანსთა და ეკონომიკის სამინისტრო</t>
  </si>
  <si>
    <t>სსიპ საქართველოს მუნიციპალური განვითარების ფონდი</t>
  </si>
  <si>
    <t>საქართველოს რეგიონული განვითარებისა და ინფრასტრუქტურის სამინისტრო</t>
  </si>
  <si>
    <t>საქართველოს საავტომობილო გზების დეპარტამენტი</t>
  </si>
  <si>
    <t>სახელმწიფო ბიუჯეტში ასახული დონორების მხარდაჭერით დაფინანსებული პროგრამები და პროექტები</t>
  </si>
  <si>
    <t>სსიპ დაცული ტერიტორიების სააგენტო</t>
  </si>
  <si>
    <t>ლარში</t>
  </si>
  <si>
    <t>შიდასახელმწიფოებრივი და ადგილობრივი გზების პროექტი III (WB)</t>
  </si>
  <si>
    <t>შპს მყარი ნარჩენების მართვის კომპანია</t>
  </si>
  <si>
    <t>პროექტის დასრულების თარიღი</t>
  </si>
  <si>
    <t>ათასწლეულის გამოწვევა საქართველოს - მეორე კომპაქტი (MCC)</t>
  </si>
  <si>
    <t xml:space="preserve"> სულ ათვისებული თანხა (საკასო) **</t>
  </si>
  <si>
    <t>რეგიონალური და მუნიციპალური ინფრასტრუქტურის განვითარების პროექტი II (WB)</t>
  </si>
  <si>
    <t>სოფლის მეურნეობის მოდერნიზაციის, ბაზარზე წვდომისა და მდგრადობის პროექტი (GEF, IFAD)</t>
  </si>
  <si>
    <t>ზემო სამგორის სარწყავი სისტემის რეაბილიტაცია (ORIO)</t>
  </si>
  <si>
    <t xml:space="preserve">ირიგაციისა და დრენაჟის სისტემების გაუმჯობესება (WB) </t>
  </si>
  <si>
    <t>რეგიონალური განვითარების პროექტი III ნაწილი (მცხეთა-მთიანეთი და სამცხე-ჯავახეთი) (WB)</t>
  </si>
  <si>
    <t>ქვემო ქართლის ნარჩენების მართვის პროექტი (EBRD, SIDA)</t>
  </si>
  <si>
    <t>აღმოსავლეთ-დასავლეთის ჩქაროსნული ავტომაგისტრალის მოდერნიზაცია-მშენებლობა სამტრედია-გრიგოლეთის მონაკვეთზე (EIB, EU)</t>
  </si>
  <si>
    <t>ქუთაისის მყარი ნარჩენების პროექტი (KfW, EU)</t>
  </si>
  <si>
    <t>ინოვაციური ეკოსისტემის განვითარება (IBRD)</t>
  </si>
  <si>
    <t>საქართველოს შეიარაღებული ძალების შესაძლებლობების გაძლიერება (საფრანგეთი - SG)</t>
  </si>
  <si>
    <t>საქართველოს ურბანული რეკონსტრუქციის და განვითარების პროექტი (EIB)</t>
  </si>
  <si>
    <t>220კვ "ახალციხე-ბათუმი" ხაზის მშენებლობა (WB)</t>
  </si>
  <si>
    <t>შიდასახელმწიფოებრივი გზების აქტივების მართვის პროექტი (WB)</t>
  </si>
  <si>
    <t>ბათუმი (ანგისა) - ახალციხის საავტომობილო გზის ხულო-ზარზმის მონაკვეთის რეაბილიტაცია-რეკონსტრუქცია (Kuwait Fund)</t>
  </si>
  <si>
    <t>მდინარე დებედაზე ხიდის მშენებლობა (EBRD)</t>
  </si>
  <si>
    <t>აღმოსავლეთ-დასავლეთის ჩქაროსნული ავტომაგისტრალის დერეფნის გაუმჯობესების პროექტი (ზემო ოსიაური-რიკოთი) (WB, EIB)</t>
  </si>
  <si>
    <t>KWD</t>
  </si>
  <si>
    <t>საქართველოს მუნიციპალური ინფრასტრუქტურის განახლების პროექტი (EIB)</t>
  </si>
  <si>
    <t xml:space="preserve">ბათუმში კომუნალური ინფრასტრუქტურის დაწესებულებათა რეაბილიტაცია (III ფაზა) (KfW, EU-NIF) </t>
  </si>
  <si>
    <t>ბათუმის ავტობუსების პროექტი (E5P, EBRD)</t>
  </si>
  <si>
    <t>თბილისის საჯარო სკოლების რეაბილიტაცია და ენერგო ეფექტურობის გაზრდის პროექტი (CEB, E5P)</t>
  </si>
  <si>
    <t>500 კვ ეგხ წყალტუბო -ახალციხე - ტორტუმი (KfW)</t>
  </si>
  <si>
    <t>250 მგვარ რეაქტორი ქ/ს ზესტაფონში (EBRD)</t>
  </si>
  <si>
    <t>საქართველოს ელექტროენერგეტიკული სექტორის განვითარების შეფასება (WB)</t>
  </si>
  <si>
    <t>500 კვ ეგხ ჯვარი-წყალტუბო (WB)</t>
  </si>
  <si>
    <t>გურიის ელგადაცემის ხაზების ინფრასტრუქტურის გაძლიერება (KfW)</t>
  </si>
  <si>
    <t xml:space="preserve">ბათუმში კომუნალური ინფრასტრუქტურის დაწესებულებათა რეაბილიტაცია (IV ფაზა) (KfW) </t>
  </si>
  <si>
    <t>ქ. ბათუმის ახალი შემოვლითი გზა (ADB, AIIB)</t>
  </si>
  <si>
    <t xml:space="preserve"> - დაახლოებით 100 კილომეტრი 500კვ ერთჯაჭვა გადამცემი ხაზის „ჯვარი-წყალტუბო“ მშენებლობა;
 - 500კვ ქვესადგურის „წყალტუბო“ მშენებლობა.
(დაგეგმილი)</t>
  </si>
  <si>
    <t xml:space="preserve"> - 220/110კვ ქვესადგური "ოზურგეთი", 250 მვა დადგმული სიმძლავრით;
 - 220კვ ეგხ "პალიასტომი"-დან ორჯაჭვა ეგხ-ის შეჭრა 220/110 კვ ქს-ში "ოზურგეთი";
 - ახალი 110კვ ქვესადგურის მშენებლობა ჩოხატაურში;
 - ახალი ორჯაჭვა 110კვ ხაზი "ოზურგეთი-ჩოხატაური"
 (დაგეგმილი)</t>
  </si>
  <si>
    <t>საქართველოში მყარი ნარჩენების მართვის პროექტი (EBRD)</t>
  </si>
  <si>
    <t xml:space="preserve"> - ბათუმში წყალმომარაგების და საკანალიზაციო ქსელის რეაბილიტაცია (სამუშაოების ნაწილი დასრულდა);
 - წყლის რეზერვუარების მშენებლობა - რეაბილიტაცია (დასრულდა);
 - გამწმენდი ნაგებობების მშენებლობა - რეაბილიტაცია (დასრულდა);
 - საკანალიზაციო სისტემის შექმნა აჭარის სანაპირო სოფლებში, კერძოდ გონიოში, კვარიათში, სარფში და ახალსოფელში (დასრულდა);
 - ბათუმის მიმდებარე სამ სოფელში (ჩაქვი, მწვანე კონცხი და მახინჯაური) არსებული წყალმომარაგების ინფრასტრუქტურის მოდერნიზაცია და აღნიშნული სოფლების უზრუნველყოფა დეცენტრალიზებული წყალარინების სისტემებით (მიმდინარეობს);
 - ბათუმში სანიაღვრე სისტემის ნაწილის რეაბილიტაცია (მიმდინარეობს);
 - ბათუმში წყლის მრიცხველების დამონტაჟება (სამუშაოები მიმდინარეობს).</t>
  </si>
  <si>
    <t xml:space="preserve"> წყლის ინფრასტრუქტურის განახლების პროექტი II (EIB, EU)</t>
  </si>
  <si>
    <t>500-220 კვ ქ/ს-ის "ჯვარი" და შესაბამისი ელექტროგადამცემი ხაზების მშენებლობა (EBRD, KfW, EU)</t>
  </si>
  <si>
    <t>500 კვ ეგხ-ის მშენებლობა ქსანი-სტეფანწმინდა (KfW)</t>
  </si>
  <si>
    <t>*პროექტები, რომელთა დასაფინანსებლად სხვადასხვა დროს გაფორმდა რამდენიმე ხელშეკრულება, მითითებულია პირველი ხელშეკრულების ხელმოწერის თარიღი</t>
  </si>
  <si>
    <r>
      <rPr>
        <sz val="12"/>
        <rFont val="Arial"/>
        <family val="2"/>
        <charset val="204"/>
      </rPr>
      <t>**</t>
    </r>
    <r>
      <rPr>
        <sz val="12"/>
        <rFont val="Franklin Gothic Book"/>
        <family val="2"/>
        <scheme val="minor"/>
      </rPr>
      <t xml:space="preserve"> კომერციულ ბანკებში გახსნილი ანგარიშებიდან თანხების ათვისების მონაცემები შესაძლოა დაზუსტდეს მომდევნო თვეებში</t>
    </r>
  </si>
  <si>
    <t xml:space="preserve"> - 220 კვ ორჯაჭვა ეგხ "ხუდონი-ნენსკრა" მშენებლობა;
 - 110 კვ ეგხ "ხუდონი - მესტია" მშენებლობა;
 - 125 მვა, 110/35 კვ ქვესადგური "მესტია" მშენებლობა;
 - 500/220/110კვ ქვესადგური "ხუდონი" მშენებლობა;
 - 500კვ ეგხ კავკასიონი"-ს შეჭრა ქვესადგურში "ხუდონი";
 - 110 კვ ორჯაჭვა ხაზი "ხელედულა - ჯახუნდერი" მშენებლობა;
 - 220/110 კვ 125 მგვა ქ/ს ლაჯანურის მშენებლობა/გაფართოება 
 (დაგეგმილი)</t>
  </si>
  <si>
    <t>ელექტროენერგიის სექტორის სტრატეგიული გარემოსდაცვითი ზემოქმედების შეფასება (მიმდინარებს)</t>
  </si>
  <si>
    <t>საქართველოს შეიარაღებული ძალების შესაძლებლობების გაძლიერება (მიმდინარეობს)</t>
  </si>
  <si>
    <r>
      <t>ხელშეკრულების ხელმოწერის თარიღი</t>
    </r>
    <r>
      <rPr>
        <b/>
        <sz val="14"/>
        <color theme="1"/>
        <rFont val="Calibri"/>
        <family val="2"/>
      </rPr>
      <t>*</t>
    </r>
  </si>
  <si>
    <t>წყალტუბოსა და თელავში საკანალიზაციო სისტემების გამწმენდი ნაგებობების მშენებლობა (მიმდინარეობს სამშენებლო სამუშაოები).</t>
  </si>
  <si>
    <t>02.04.2019</t>
  </si>
  <si>
    <t>შიდასახელმწიფოებრივი მნიშვნელობის ძირულა-ხარაგაული-მოლითი-ფონა-ჩუმათელეთის საავტომობილო გზის ჩუმათელეთი-ხარაგაულის მონაკვეთის რეაბილიტაცია-რეკონსტრუქცია (ADB)</t>
  </si>
  <si>
    <t>19,06,2017</t>
  </si>
  <si>
    <t>31,08,2021</t>
  </si>
  <si>
    <t>თბილისი-სენაკი-ლესელიძის საავტომობილო გზის ხევი უბისას მონაკვეთის რეკონსტრუქცია - მშენებლობა (ADB)</t>
  </si>
  <si>
    <t>თბილისი-სენაკი-ლესელიძის საავტომობილო გზის უბისა ძირულას მონაკვეთის რეკონსტრუქცია-მშენებლობა (EIB)</t>
  </si>
  <si>
    <t>თბილისი-სენაკი-ლესელიძის საავტომობილო გზის ძირულა არგვეთას მონაკვეთის რეკონსტრუქცია-მშენებლობა (JICA)</t>
  </si>
  <si>
    <t>სენაკი-ფოთი-სარფის საავტომობილო გზის კმ48-კმ64 გრიგოლეთი-ჩოლოქის მონაკვეთის მშენებლობა (EIB)</t>
  </si>
  <si>
    <t>თბილისი-წითელი ხიდის (აზერბაიჯანის რესპუბლიკის საზღვარი) საავტომობილო გზის კმ22-კმ57 რუსთავი-წითელი ხიდის მონაკვეთის მშენებლობა (EIB)</t>
  </si>
  <si>
    <t>ალგეთი-სადახლოს საავტომობილო გზის მშენებლობა-მოდერნიზაცია (EIB)</t>
  </si>
  <si>
    <t>მცხეთა-სტეფანწმინდა-ლარსის საავტომობილო გზის ქვეშეთი-კობის მონაკვეთზე საავტომობილო გზის და გვირაბის მშენებლობა (ADB)</t>
  </si>
  <si>
    <t>თბილისი-ბაკურციხე-ლაგოდეხის საავტომობილო გზის კმ20-კმ50 ლოჭინი-საგარეჯოს მონაკვეთის მშენებლობა (EIB)</t>
  </si>
  <si>
    <t>ქუთაისის წყალარინების პროექტი (EIB, EPTATF)</t>
  </si>
  <si>
    <t>04,12,2017</t>
  </si>
  <si>
    <t>31,12,2023</t>
  </si>
  <si>
    <t>თბილისი-ბაკურციხე-ლაგოდეხის საავტომობილო გზის კმ20-კმ50 ლოჭინი-საგარეჯოს მონაკვეთის მშენებლობა   (დაგეგმილი)</t>
  </si>
  <si>
    <t>თბილისი-სენაკი-ლესელიძის საავტომობილო გზის ჩუმათელეთი-ხევის მონაკვეთის რეკონსტრუქცია-მშენებლობა (EIB, WB)</t>
  </si>
  <si>
    <t>31,12,2021</t>
  </si>
  <si>
    <t xml:space="preserve"> ენგურის ჰიდროელექტროსადგურების რეაბილიტაციის პროექტი  -  კლიმატური პიროგებისადმი მდგრადობის გაუმჯობესება (EBRD , EU)</t>
  </si>
  <si>
    <t>2019 წლის ბიუჯეტით დამტკიცებული თანხა</t>
  </si>
  <si>
    <t>2019 წლის განმავლობაში ათვისებული თანხა (საკასო) **</t>
  </si>
  <si>
    <t>საქართველოში საჯარო შენობების ენერგოეფექტურობის გაუმჯობესება და განახლებადი-ალტერნატიული ენერგიის გამოყენება (E5P, NEFCO)</t>
  </si>
  <si>
    <t>მყარი ნარჩენების ინტეგრირებული მართვის პროგრამა II (კახეთი, სამეგრელო-ზემო სვანეთი) (KfW)</t>
  </si>
  <si>
    <t>თბილისის მყარი ნარჩენების მართვის პროექტი (EBRD)</t>
  </si>
  <si>
    <t xml:space="preserve">კახეთის ინფრასტრუქტურის გაძლიერება (KfW) </t>
  </si>
  <si>
    <t>ხელედულა-ლაჯანური-ონი (KfW)</t>
  </si>
  <si>
    <t>თბილისის ავტობუსების პროექტი (ფაზა II)
 (EBRD)</t>
  </si>
  <si>
    <t xml:space="preserve"> - ზესტაფონი - ქუთაისის ახალი შემოვლითი გზის მშენებლობა (15.2 კმ) (დასრულდა; 14 კმ. გზის მონაკვეთი გახსნილია მოძრაობისთვის);
 - ქუთაისის ახალი შემოვლითი გზის მშენებლობა (სამშენებლო სამუშაოები დასრულდა და შემოვლითი გზის 17.3 კილომეტრიანი მონაკვეთი გაიხსნა 2014 წელს);
 - ქუთაისი - სამტრედიის მონაკვეთზე ახალი გზის მშენებლობა (სამშენებლო სამუშაოები დასრულდა, 24 კილომეტრიან მონაკვეთზე მოძრაობა გახსნილია).</t>
  </si>
  <si>
    <t>ალგეთი-სადახლოს საავტომობილო გზის მშენებლობა-მოდერნიზაცია   (დაგეგმილი).</t>
  </si>
  <si>
    <t>საქართველოს სხვადასხვა რეგიონში (დაახლოებით 225 კმ საერთო სიგრძის) შიდასახელმწიფოებრივი და ადგილობრივი გზების რეაბილიტაცია დასრულდა.</t>
  </si>
  <si>
    <t>საქართველოს სხვადასხვა რეგიონში მცირე ზომის ინფრასტრუქტურული პროექტები (გზების, ქუჩების, წყალსადენის, კანალიზაციის სისტემების რეაბილიტაცია) (მიმდინარეობს სამშენებლო სამუშაოები).</t>
  </si>
  <si>
    <t xml:space="preserve"> - აჭარაში (ქობულეთში, სოფელ ცეცხლაურთან) თანამედროვე ტიპის ნაგავსაყრელის მშენებლობა (მიმდინარეობს პროექტის მოსამზადებელი სამუშაოები);
 - ბათუმის არსებული ნაგავსაყრელის დახურვა (დახურვა მოხდება ახალი ნაგავსაყრელის ამოქმედების შემდეგ).</t>
  </si>
  <si>
    <t xml:space="preserve">  - ახალი ნაგავსაყრელის (ქუთაისის შესასვლელი, სოფელი ჭოგნარი) მოწყობა (მიმდინარეობს მოსამზადებელი სამუშაოები);
 - მყარი ნარჩენების ტრანსპორტირებისა და ნაგავსაყრელის ფუნქციონირებისათვის საჭირო მანქანების/აღჭურვილობის შეძენა (დაგეგმილი)
 - ქუთაისის არსებული ნაგავსაყრელის დახურვა (დაიხურება ქუთაისის ახალი ნაგავსაყრელის ამოქმედების შემდეგ).</t>
  </si>
  <si>
    <t xml:space="preserve"> - ზუგდიდი - მესტიის გზის რეაბილიტაცია (დასრულდა);
 - ანაკლიის ნაპირდაცვა- I  ფაზა (დასრულდა);
- თბილისში მეტროსადგური "უნივერსიტეტი" მშენებლობა (დასრულდა). 
 - თბილისი - რუსთავის ავტომაგისტრალის მშენებლობა I-II  მონაკვეთი (დასრულდა);
- თბილისი - რუსთავის ავტომაგისტრალის მშენებლობა II  მონაკვეთი (მიმდინარეობს სამშენებლო სამუშაოები);
 - ანაკლიის ნაპირდაცვა-  II ფაზა (დასრულდა);
 - ქალაქ ბათუმში ნაპირდაცვის სამუშაოები (მიმდინარეობს სამშენებლო სამუშაოები);
- თბილისის მეტროს რეაბილიტაცია  (მეტროს ელექტროგაყვანილობის და სავენტილაციო სისტემის გამოცვლა) (მიმდინარეობს სამშენებლო სამუშაოები).</t>
  </si>
  <si>
    <t xml:space="preserve"> - თელავში, ყვარელში და ახმეტაში ინფრასტრუქტურის რეაბილიტაცია (მუნიციპალური და კომუნალური ინფრასტრუქტურა, ისტორიული უბნების რეაბილიტაცია) (ძირითადი სამუშაოები დასრულებულია);
 - კახეთის მასშტაბით კულტურული მემკვიდრეობის ძეგლების კეთილმოწყობა (ძირითადი სამუშაოები დასრულებულია);
 - კერძო სექტორის ხელშეწყობა ტურიზმის და სოფლის მეურნეობის სექტორში (დასრულდა).</t>
  </si>
  <si>
    <t xml:space="preserve"> - წყალტუბოში ინფრასტრუქტურის რეაბილიტაცია;
 - იმერეთის მასშტაბით კულტურული მემკვიდრეობის ძეგლების კეთილმოწყობა (დამხმარე ინფრასტრუქტურა)
(მიმდინარეობს სამშენებლო სამუშაოები).</t>
  </si>
  <si>
    <t>მცხეთა-მთიანეთში და სამცხე ჯავახეთში ინფრასტრუქტურის რეაბილიტაცია და კულტურული მემკვიდრეობის ძეგლების მიმდებარე ტერიტორიის კეთილმოწყობა (მიმდინარეობს სამშენებლო სამუშაოები).</t>
  </si>
  <si>
    <t>ქვემო ქართლის რეგიონში (მარნეული) ახალი ნაგავსაყრელის მშენებლობა (მიმდინარეობს მოსამზადებელი სამუშაოები).</t>
  </si>
  <si>
    <t>ნაგავმზიდი მანქანებისა და მყარი ნარჩენების კონტეინერების შეძენა (მიმდინარეობს, შეძენილი იქნა და მუნიციპალიტეტებს გადაეცა დაახლოებით 150 ნაგავმზიდი მანქანა და დაახლოებით 7200 მყარი ნარჩენების კონტეინერი).</t>
  </si>
  <si>
    <t xml:space="preserve"> - საქართველოს სხვადასხვა რეგიონში მცირე ზომის ინფრასტრუქტურული პროექტები (გზების, ქუჩების, წყალსადენის, კანალიზაციის სისტემების რეაბილიტაცია);
 - თბილისში 2015 წელს წყალდიდობის შედეგად დაზიანებული ინფრასტრუქტურის რეაბილიტაცია
(მიმდინარეობს სამშენებლო სამუშაოები).</t>
  </si>
  <si>
    <t>საქართველოს სხვადასხვა რეგიონში მცირე ზომის ინფრასტრუქტურული პროექტები (გზების, ქუჩების, წყალსადენის, კანალიზაციის სისტემების რეაბილიტაცია).</t>
  </si>
  <si>
    <t>ქ. ქობულეთში კანალიზაციის გამწმენდი ნაგებობის მშენებლობა (მიმდინარეობს).</t>
  </si>
  <si>
    <t xml:space="preserve">27.01.2019  </t>
  </si>
  <si>
    <t>15.10.2015</t>
  </si>
  <si>
    <t>15.10.2020</t>
  </si>
  <si>
    <t>ქალაქ ქუთაისის წყალარინების სისტემის და გამწმენდი ნაგებობის მშენებლობა (მიმდინარეობს სარეაბილიტაციო სამუშაოების  პროექტირებისა  და ზედამხედველობის მომსახურების  შესყიდვასთან დაკავშირებული პროცედურები).</t>
  </si>
  <si>
    <t>ბათუმში წყალმომარაგების და წყალარინების სისტემის რეაბილიტაცია და გაფართოება (მიმდინარეობს).</t>
  </si>
  <si>
    <t>საქართველოს სხვადასხვა რეგიონში წყლის მიწოდების გაუმჯობესება (მიმდინარეობს).</t>
  </si>
  <si>
    <t xml:space="preserve">  - ენგურის ჰიდროელექტროსადგურის კასკადის რეაბილიტაციის დასრულება, 
 საქართველოში  სუფთა განახლებადი ენერგიის ხელმისაწვდომლობის გაზრდის მიზნით;  
  -   ენგურის ჰიდროელექტროსადგურის რეაბილიტაციის დასრულების ხელშეწყობა, მათ შორის საგანგებო რემონტის  განხორციელება  მიწისქვეშა გვირაბსა თუ მილსადენზე, მთლიანი წარმოების გაზრდის მიზნით;
 -  კლიმატური პიროპებისადმი მდგრადობის გაუმჯობესების უზრუნველყოფა.</t>
  </si>
  <si>
    <t xml:space="preserve"> - ახალი 500/220 კვ ქვესადგურის მშენებლობა ჯვარში (მიმდინარეობს);
 - კავკასიონის გადამცემი ხაზიდან ჯვარის ქვესადგურამდე და ჯვარის ქვესადგურსა და ხორგას ქვესადგურებს შორის ელექტროგადამცემი ხაზების მშენებლობა (მიმდინარეობს);
 - ქვესადგურების ქსანის და სტეფანწმინდის დამაკავშირებელი ელექტროგადამცემი ხაზის მშენებლობა (500 კვ) (მიმდინარეობს).</t>
  </si>
  <si>
    <t>250 მგვარ სიმძლავრის რეგულირებადი რეაქტორის მშენებლობა - ,,ქ/ს ზესტაფონი 500-ში“ (დაგეგმილი).</t>
  </si>
  <si>
    <t xml:space="preserve">  - 500კვ ორჯაჭვა ეგხ-ის „წყალტუბო-ახალციხე“ მშენებლობას (დაახლოებით 160კმ) ;
 - 500კვ ქვესადგურის - „ახალციხე“ გაფართოება;
 - 400კვ ეგხ-ის „ახალციხე-თორთუმი“ მშენებლობა თურქეთის საზღვრამდე დაახლ. 30 კმ);
(დაგეგმილი).</t>
  </si>
  <si>
    <t>ახალციხიდან ბათუმამდე (142 კმ სიგრძის) მაღალი ძაბვის (220კვ) ელექტროგადამცემი ხაზის მშენებლობა (მიმდინარეობს).</t>
  </si>
  <si>
    <t>ირიგაციისა და დრენაჟის სისტემების რეაბილიტაცია და მოდერნიზაცია: ქვემო სამგორის საირიგაციო არხი (2200 ჰექტარი), ტბისი-კუმისის საირიგაციო არხი (2200 ჰექტარი) და ზედა რუს საირიგაციო არხი (1319 ჰექტარი) (მიმდინარეობს).</t>
  </si>
  <si>
    <t>რამდენიმე საპილოტე ადგილში (მათ შორის შუახევი, ვანი, მარტვილი, მესტია, დედოფლისწყარო, გურჯაანი, გორი, მცხეთა, თიანეთი, თეთრიწყარო) მიწის რეგისტრაციასთან დაკავშირებული ღონისძიებები (მიმდინარეობს).</t>
  </si>
  <si>
    <t>ზემო სამგორის ირიგაციისა და დრენაჟის სისტემის რეაბილიტაცია. პროექტის მოსამზადებელი ეტაპი (პროექტის მომზადებისთვის საჭირო კვლევებისა და ტექნიკური, სოციალური, გარემოსდაცვითი და ინსტიტუციონალური ასპექტების ანალიზი მომზადდა. მიმდინარეობს პროექტის განვითარების ფაზის დახურვის პროცედურები).</t>
  </si>
  <si>
    <t xml:space="preserve"> - ბორჯომ-ხარაგაულის ეროვნული პარკის მხარდაჭერა;
 - ლაგოდეხის დაცული ტერიტორიის მხარდაჭერა;
 - ვაშლოვანის დაცული ტერიტორიის მხარდაჭერა;
 - თუშეთის დაცული ტერიტორიის მხარდაჭერა.
(მომზადდა ბორჯომ-ხარაგაულის სახვლარის საძოვრების შეფასება, დასრულდა ბორჯომ-ხარაგაულის და ჯავახეთის ტურისტული სტრატეგიების მომზადება; მომზადდა ბორჯომის ადმინისტრაციაში მცირე სავაჭრო/სუვენირების დახლის პროექტი; მომზადდა სტატია ჯავახეთზე და ლაგოდეხზე ჟურნალისთვის "The Georgian", რომელიც გერმანიის ტურისტულ გამოფენაზე გავრცელდა).</t>
  </si>
  <si>
    <t xml:space="preserve">  - ყაზბეგის ეროვნული პარკის შექმნა;
 - კინტრიშის დაცული ტერიტორის შექმნა;
 - ალგეთის ეროვნული პარკის შექმნა;
 - ფშავ-ხევსურეთის დაცული ტერიტორიის შექმნა.
(მიმდინარეობს ტურიზმის სტრატეგიების, სამოქმედო და საინვესტიციო გეგმების შემუშავება; დაიწყო მენეჯმენტის გეგმის შემუშავება ალგეთის ეროვნული პარკისათვის; გამოცხადდა ტენდერი ფშავ-ხევსურეთის დაცული ტერიტორიების დემარკაციაზე; დაიწყო ალგეთის ეროვნული პარკის ადმინისტრაციის და ვიზიტორთა შენობის მშენებლობა; დაიწყო ყაზბეგის ეროვნული პარკის ადმინისტრაციის და ვიზიტორთა შენობის მშენებლობა; მიმდინარეობს პრომეთეს მღვიმის საგამოფენო დარბაზის მოწყობა; მიმდინარეობს დუშეთის მუნიციპალიტეტში დაცული ლანდშაფტის შექმნისათვის კანონპროექტის შემუშავება)</t>
  </si>
  <si>
    <t xml:space="preserve">ავტობუსების (დიზელის და ელექტრო) შეძენა. დიზელის 40 ერთეული 
ავტობუსი შემოსულია საქართველოში; ელექტრო ავტობუსების შეძენა (დაგეგმილი). </t>
  </si>
  <si>
    <t>30.09.2021</t>
  </si>
  <si>
    <t>დაგეგმილი</t>
  </si>
  <si>
    <r>
      <t xml:space="preserve"> - მყარი ნარჩენების შეგროვების სადგურის განახლება (ახალი ნაგავმზიდი და მექანიკური დამგველი მანქანის შეძენა);
 - არსებული მყარი ნარჩენების გადატვირთვის სადგურის განახლება;
  -თბილისის მყარი ნარჩენების ნაგავსაყრელზე ნაჟური წყლის</t>
    </r>
    <r>
      <rPr>
        <sz val="12"/>
        <color theme="1"/>
        <rFont val="Franklin Gothic Book"/>
        <family val="2"/>
        <scheme val="minor"/>
      </rPr>
      <t xml:space="preserve">  (</t>
    </r>
    <r>
      <rPr>
        <sz val="1"/>
        <color theme="1"/>
        <rFont val="Franklin Gothic Book"/>
        <family val="2"/>
        <scheme val="minor"/>
      </rPr>
      <t>(</t>
    </r>
    <r>
      <rPr>
        <sz val="12"/>
        <color theme="1"/>
        <rFont val="Franklin Gothic Book"/>
        <family val="2"/>
        <scheme val="minor"/>
      </rPr>
      <t>ლიჩეტის)</t>
    </r>
    <r>
      <rPr>
        <sz val="1"/>
        <color theme="1"/>
        <rFont val="Franklin Gothic Book"/>
        <family val="2"/>
        <scheme val="minor"/>
      </rPr>
      <t>)</t>
    </r>
    <r>
      <rPr>
        <sz val="12"/>
        <rFont val="Franklin Gothic Book"/>
        <family val="2"/>
        <scheme val="minor"/>
      </rPr>
      <t xml:space="preserve">  სისტემის რეაბილიტაცია და გაუმჯობესება.</t>
    </r>
  </si>
  <si>
    <t>ჭიათურის საბაგირო გზების რეკონსტრუქცია-რეაბილიტაციის პროექტი (საფრანგეთი)</t>
  </si>
  <si>
    <t>ქალაქ ჭიათურაში მდებარე ქალაქის ცენტრის პერიფერიებთან დამაკავშირებელი ურბანული მექანიკური საბაგიროების აღჭურვილობის განახლება: 
 - საბაგირო N1 ცენტრი - სანატორიუმი (მიმდინარეობს სამშენებლო სამუშაოები);
 - საბაგირო N2 ცენტრი - ლეჟუბანი (მიმდინარეობს სამშენებლო სამუშაოები);
 - საბაგირო N3 ცენტრი - ნაგუთი (მიმდინარეობს სამშენებლო სამუშაოები);
 - საბაგირო N4 ცენტრი - მუხაძე (მიმდინარეობს სამშენებლო სამუშაოები)</t>
  </si>
  <si>
    <t>28.02.2020</t>
  </si>
  <si>
    <t xml:space="preserve">  - სამტრედია - გრიგოლეთის მონაკვეთზე (დაახლოებით 52 კმ) ახალი ოთხზოლიანი ავტომაგისტრალის მშენებლობა (სამშენებლო სამუშაოები მიმდინარეობს I, II და IV ლოტის ფარგლებში; ლოტი III -  ხელშეკრულება შეწყდა, მიმდინარეობს მოლაპარაკება დონორთან ტენდერის ხელახლა გამოცხადების თაობაზე);
 - ფოთი-გრიგოლეთის მონაკვეთი (დეტალური პროექტის მომზადების სამუშაოები დასრულდა).</t>
  </si>
  <si>
    <t>საჯარო შენობებში  ენერგოეფექტურობის  ღონისძიებების განხორციელება (ადმინისტრაციულ და საგანმანათლებლო შენობებში განახლებადი და ალტერნატიული ენერგიის წყაროების დანერგვა)  (მიმდინარეობს მოსამზადებელი სამუშაოები).</t>
  </si>
  <si>
    <t xml:space="preserve">ზუგდიდში (არსებული ნაგავსაყრელის ბაზაზე) და გურჯანში (სოფელ მელაანში) რეგიონული მუნიციპალური ნაგავსაყრელის მოწყობა  რომელიც მოემსახურება  სამეგრელო-ზემო სვანეთის და კახეთის რეგიონებს (მიმდინარეობს მოსამზადებელი სამუშაოები). </t>
  </si>
  <si>
    <t xml:space="preserve">თბილისის დაახლოებით 25 საჯარო სკოლის რეკონსტრუქცია-გამაგრება და აღნიშნულ სკოლებში ენერგო ეფექტურობის გაზრდა (მიმდინარეობს მოსამზადებელი სამუშაოები). </t>
  </si>
  <si>
    <t>30.04.2021</t>
  </si>
  <si>
    <t>თბილისი-წითელი ხიდის (აზერბაიჯანის რესპუბლიკის საზღვარი) საავტომობილო გზის კმ22-კმ57 რუსთავი-წითელი ხიდის მონაკვეთის მშენებლობა   (დაგეგმილი).   (მიმდინარეობს სატენდერო პროცედურები რუსთავი-წითელი ხიდის (ლოტი 1 და ლოტი 2) მონაკვეთის სამშენებლო სამუშაოებზე ზედამხედველის შესარჩევად).</t>
  </si>
  <si>
    <t xml:space="preserve">  - საქართველოს სხვადასხვა ქალაქსა და სოფელში ინოვაციური ჰაბებისა და ცენტრების ქსელის განვითარება;
 - საქართველოს რეგიონებში მცირე და საშუალო ზომის საწარმოების/საოჯახო მეურნეობების მიერ ფართომასშტაბიანი ინტერნეტ მომსახურებისა და საინფორმაციო ტექნოლოგიების ადაპტაციისა და გამოყენების მხარდაჭერა;
 - ინდივიდუალური პირებისა და ფირმების ინოვაციური შესაძლებლობების განვითარება.</t>
  </si>
  <si>
    <t>საქართველოსა და სომხეთის რესპუბლიკის სახელმწიფო საზღვრის სადახლო - ბაგრატაშენის სასაზღვრო გამტარ პუნქტებზე ახალი ხიდის მშენებლობა  (მიმდინარეობს დეტალური პროექტირების სამუშაოები).</t>
  </si>
  <si>
    <r>
      <rPr>
        <b/>
        <sz val="10"/>
        <rFont val="Franklin Gothic Book"/>
        <family val="2"/>
        <scheme val="minor"/>
      </rPr>
      <t xml:space="preserve">
</t>
    </r>
    <r>
      <rPr>
        <b/>
        <sz val="11"/>
        <rFont val="Franklin Gothic Book"/>
        <family val="2"/>
        <scheme val="minor"/>
      </rPr>
      <t>საქართველოს რეგიონებში საჯარო სკოლების რემონტი/რეაბილიტაცია</t>
    </r>
    <r>
      <rPr>
        <sz val="11"/>
        <rFont val="Franklin Gothic Book"/>
        <family val="2"/>
        <scheme val="minor"/>
      </rPr>
      <t xml:space="preserve">
- 91  საჯარო სკოლის სრული რეაბილიტაცია და 91</t>
    </r>
    <r>
      <rPr>
        <sz val="11"/>
        <color rgb="FFFF0000"/>
        <rFont val="Franklin Gothic Book"/>
        <family val="2"/>
        <scheme val="minor"/>
      </rPr>
      <t xml:space="preserve"> </t>
    </r>
    <r>
      <rPr>
        <sz val="11"/>
        <rFont val="Franklin Gothic Book"/>
        <family val="2"/>
        <scheme val="minor"/>
      </rPr>
      <t xml:space="preserve"> საჯარო სკოლის საბუნებისმეტყველო ლაბორატორიებით აღჭურვა შიდა და ქვემო ქართლის, სამცხე-ჯავახეთის, რაჭა-ლეჩხუმისა და ქვემო სვანეთის, კახეთის, იმერეთის, გურიის რეგიონებში და აჭარის ა/რ. (დასრულდა);</t>
    </r>
    <r>
      <rPr>
        <b/>
        <sz val="11"/>
        <rFont val="Franklin Gothic Book"/>
        <family val="2"/>
        <scheme val="minor"/>
      </rPr>
      <t xml:space="preserve">
მასწავლებელთა კვალიფიკაციის ამაღლება</t>
    </r>
    <r>
      <rPr>
        <sz val="11"/>
        <rFont val="Franklin Gothic Book"/>
        <family val="2"/>
        <scheme val="minor"/>
      </rPr>
      <t xml:space="preserve">
- ზოგადპროფესიული კურსის ფარგლებში მონაწილეობა მიიღო ჯამში 17 656  მასწავლებელმა, მათ შორის, 1 861 არაქართულენოვანი სკოლებიდან. ზოგადპროფესიული კურსის სამივე მოდული წარმატებით დაასრულა 12 339 (მათ შორის, 1 104 არაქართულენოვანი) მასწავლებელმა.
- საგნობრივი მეთოდიკის კურსის (ფიზიკა, მათემატიკა, ბიოლოგია, ქიმია, ინგლისური და ინფორმაციული ტექნოლოგიები) ფარგლებში ტრენინგი წარმატებით გაიარა 14 859 (მათ შორის, 1  229 არაქართულენოვანი) მასწავლებელმა.</t>
    </r>
    <r>
      <rPr>
        <b/>
        <sz val="11"/>
        <rFont val="Franklin Gothic Book"/>
        <family val="2"/>
        <scheme val="minor"/>
      </rPr>
      <t xml:space="preserve">
სკოლის დირექტორთა კვალიფიკაციის ამაღლება</t>
    </r>
    <r>
      <rPr>
        <sz val="11"/>
        <rFont val="Franklin Gothic Book"/>
        <family val="2"/>
        <scheme val="minor"/>
      </rPr>
      <t xml:space="preserve">
-  ლიდერობის აკადემია 1   წარმატებით დაასრულა 1 820  (მათ შორის, 167 არაქართულენოვანმა) დირექტორმა.
-  ლიდერობის აკადემია 2   წარმატებით დაასრულა 1  621 -მა დირექტორმა, მათ შორის, 182 არაქართულენოვანი სკოლებიდან.
-  ლიდერობის აკადემია 3 წარმატებით დაასრულა  1 718-მა  (მათ შორის, 152 არაქართულენოვანი) დირექტორმა.</t>
    </r>
    <r>
      <rPr>
        <b/>
        <sz val="11"/>
        <rFont val="Franklin Gothic Book"/>
        <family val="2"/>
        <scheme val="minor"/>
      </rPr>
      <t xml:space="preserve">
უმაღლესი და პროფესიული განათლება  </t>
    </r>
    <r>
      <rPr>
        <sz val="11"/>
        <rFont val="Franklin Gothic Book"/>
        <family val="2"/>
        <scheme val="minor"/>
      </rPr>
      <t xml:space="preserve">
-  პროფესიული განათლების პროექტის ფარგლებში შეიქმნა შრომის ბაზრის მოთხოვნების შესაბამისი  51  ახალი პროფესიული საგანმანათლებლო პროგრამები 10 პროფესიულ დაწესებულებაში; 
-  საქართველოს სამ პატრნიორ უნივერსიტეტში (თსუ, ისუ, სტუ) ერთიანი ეროვნული გამოცდების გავლით განხორციელდა სტუდენტების ოთხი ნაკადის მიღება სან დიეგოს სახელმწიფო უნივერსიტეტში,  77-მა პროფესორმა ამავე უნივერსიტეტში, კალიფორნიაში გაიარა  პროფესიული განვითარების/გადამზადების პროგრამა; პარტნიორ ქართულ სახელმწიფო უნივერსიტეტებში (თსუ, ისუ, სტუ) განხორციელდა 5000 კვ.მ სასწავლო სამეცნიერო ფართის რეაბილიტაცია და ლაბორატორიული აღჭურვა.</t>
    </r>
    <r>
      <rPr>
        <sz val="10"/>
        <rFont val="Franklin Gothic Book"/>
        <family val="2"/>
        <scheme val="minor"/>
      </rPr>
      <t xml:space="preserve">
  </t>
    </r>
    <r>
      <rPr>
        <sz val="11"/>
        <rFont val="Franklin Gothic Book"/>
        <family val="2"/>
        <scheme val="minor"/>
      </rPr>
      <t xml:space="preserve">
</t>
    </r>
    <r>
      <rPr>
        <b/>
        <sz val="12"/>
        <rFont val="Franklin Gothic Book"/>
        <family val="2"/>
        <scheme val="minor"/>
      </rPr>
      <t xml:space="preserve">
</t>
    </r>
    <r>
      <rPr>
        <sz val="12"/>
        <rFont val="Franklin Gothic Book"/>
        <family val="2"/>
        <scheme val="minor"/>
      </rPr>
      <t xml:space="preserve">
</t>
    </r>
  </si>
  <si>
    <t xml:space="preserve">თბილისი-სენაკი-ლესელიძის საავტომობილო გზის ხევი უბისას მონაკვეთის რეკონსტრუქცია - მშენებლობა (მიმდინარეობს სამშენებლო სამუშაოები).  </t>
  </si>
  <si>
    <t>თბილისი-სენაკი-ლესელიძის საავტომობილო გზის უბისა-შორაპანის მონაკვეთის რეკონსტრუქცია-მშენებლობა  (მიმდინარეობს სამშენებლო სამუშაოები).</t>
  </si>
  <si>
    <t xml:space="preserve"> გრიგოლეთი-ქობულეთის შემოვლითი გზის მონაკვეთის მშენებლობა (მიმდინარეობს სამშენებლო სამუშაოები).</t>
  </si>
  <si>
    <t xml:space="preserve">   - გურიის რეგიონში შერჩეული შიდასახელმწიფოებრივი გზების მონაკვეთების რეაბილიტაცია, პერიოდული და მიმდინარე მოვლა შენახვა, ტექნიკური სამუშაოები (დაგეგმილი);
 - მცხეთა-მთიანეთში, რაჭა-ლეჩხუმსა და შიდა ქართლის რეგიონებში შერჩეული შიდასახელმწიფოებრივი გზების მონაკვეთების რეაბილიტაცია  პროექტირება-მშენებლობის პირობებით (სარეაბილიტაციო სამუშაოები დასრულდა ერთ მონაკვეთზე);
 - სამშენებლო კონტრაქტების მონიტორინგი და ზედამხედველობა (4 საგზაო მონაკვეთის სარეაბილიტაციო სამუშაოების ზედამხედველობა - მიმდინარეობს).</t>
  </si>
  <si>
    <t xml:space="preserve">  - ძირულა-ხარაგაული-მოლითი-ფონა-ჩუმათელეთის დამაკავშირებელი შიდასახელმწიფოებრივი გზის რეაბილიტაცია  (ძირულა -მოლითის გზის რეაბილიტაცია (მიმდინარეობს სამშენებლო სამუშაოები).</t>
  </si>
  <si>
    <t xml:space="preserve"> - ზემო ოსიაური - ჩუმათელეთის მონაკვეთზე (დაახლოებით 14.1 კმ) ავტომაგისტრალის მშენებლობა (ლოტი I და ლოტი II) (I ლოტზე მიმდინარეობს სამშენებლო სამუშაოები; II  ლოტზე ხელშეკრულება შეწყდა, მიმდინარეობს დოკუმენტაციის მომზადება დარჩენილი სამუშაოების გაგრძელების მიზნით);  
 - საავტომობილო გზების დეპარტამენტის ინსტიტუციონალური განვითარება (დაგეგმილი);
 - საქართველოს ეკონომიკისა და მდგრადი განვითარების სამინისტროსათვის ტექნიკური დახმარების გაწევა ლოგისტიკური ცენტრების იდენტიფიკაციის მიზნით ტექნიკურ-ეკონომიკური კვლევის მომზადებასთან დაკავშირებით (დასრულდა);
 - საგზაო ქსელის განვითარების მიზნით მომავალი საინვესტიციო პროექტების დეტალური პროექტებისა და ტექნიკურ-ეკონომიკური დასაბუთების მომზადება (დაგეგმილი).</t>
  </si>
  <si>
    <t xml:space="preserve"> თბილისი-სენაკი-ლესელიძის საავტომობილო გზის შორაპანი-არგვეთას მონაკვეთის რეკონსტრუქცია-მშენებლობა. (სამშენებლო სამუშაოებზე გამოცხადდა ტენდერი. მიმდინარეობს სატენდერო წინადადებების შეფასება).</t>
  </si>
  <si>
    <r>
      <t>ბათუმი - ახალციხის არსებული ორზოლიანი გზის დაახლოებით 29 კმ-იან ხულო-გოდერძის მონაკვეთის რეაბილიტაცია - რეკონსტრუქცი</t>
    </r>
    <r>
      <rPr>
        <sz val="12"/>
        <rFont val="Franklin Gothic Book"/>
        <family val="2"/>
        <scheme val="minor"/>
      </rPr>
      <t>ა  (მიმდინარეობს მოსამზადებელი სამუშაოები).</t>
    </r>
  </si>
  <si>
    <r>
      <t>მცხეთა-ს</t>
    </r>
    <r>
      <rPr>
        <sz val="12"/>
        <rFont val="Franklin Gothic Book"/>
        <family val="2"/>
        <scheme val="minor"/>
      </rPr>
      <t>ტეფანწმინდა-ლარსის საავტომობილო გზის ქვეშეთი-კობის მონაკვეთზე საავტომობილო გზის და გვირაბის მშენებლობა   (გზის მონაკვეთი: ტენდერში გამარჯვებულ კომპანიასთან ხელშეკრულება გაფორმდა 2019 წლის 15 აგვისტოს; გვირაბის მონაკვეთი: ხელშეკრულების გაფორმდა 2019 წლის 5 სექტემბერს).</t>
    </r>
  </si>
  <si>
    <r>
      <t>მდინარე რიონზე ფოთის ხიდის</t>
    </r>
    <r>
      <rPr>
        <sz val="12"/>
        <rFont val="Franklin Gothic Book"/>
        <family val="2"/>
        <scheme val="minor"/>
      </rPr>
      <t xml:space="preserve"> მშენებლობა (გამოცხადდა ტენდერი ფოთის ხიდისა და მისასვლელი გზების მშენებლობის ზედამხედველობაზე. მიმდინარეობს წარმოდგენილი წინადადებების შეფასება</t>
    </r>
    <r>
      <rPr>
        <sz val="12"/>
        <color theme="1"/>
        <rFont val="Franklin Gothic Book"/>
        <family val="2"/>
        <scheme val="minor"/>
      </rPr>
      <t>).</t>
    </r>
  </si>
  <si>
    <r>
      <rPr>
        <b/>
        <sz val="12"/>
        <color theme="1"/>
        <rFont val="Franklin Gothic Book"/>
        <family val="2"/>
        <scheme val="minor"/>
      </rPr>
      <t>საქართველოს სხვადასხვა რეგიონში მცირემიწიან ფერმერთა შემოსავლების ზრდის მხარდაჭერა და სოფლის მეურნეობის პროდუქციის წარმოება/გადამუშავება/რეალიზაციის კუთხით ინვესტიციების ხელშეწყობ</t>
    </r>
    <r>
      <rPr>
        <sz val="12"/>
        <color theme="1"/>
        <rFont val="Franklin Gothic Book"/>
        <family val="2"/>
        <scheme val="minor"/>
      </rPr>
      <t>ა
 -</t>
    </r>
    <r>
      <rPr>
        <sz val="12"/>
        <rFont val="Franklin Gothic Book"/>
        <family val="2"/>
        <scheme val="minor"/>
      </rPr>
      <t xml:space="preserve"> მოეწყო 16 სადემონსტრაციო ნაკვეთი (ხეხილის,  ბოსტნეულის, კენკროვანი კულტურის, დაფნის,  კონსერვაციული სოფლის მეურნეობის ქარსაცავის და თაფლის) კახეთის, შიდა ქართლის,  სამეგრელოს, ყაზბეგის, რაჭის  რეგიონებში და  აჭარაში .  ჩატარდა 64 ტრეინინგი (თეორიული და პრაქტიკული) 2949 მონაწილესთვის. 
- გაცემულია 459 </t>
    </r>
    <r>
      <rPr>
        <sz val="12"/>
        <color theme="1"/>
        <rFont val="Franklin Gothic Book"/>
        <family val="2"/>
        <scheme val="minor"/>
      </rPr>
      <t>მცირე და დიდი გრანტი. (</t>
    </r>
    <r>
      <rPr>
        <sz val="12"/>
        <rFont val="Franklin Gothic Book"/>
        <family val="2"/>
        <scheme val="minor"/>
      </rPr>
      <t>449  პირველადი წარმოებისათვის და 10 გადამამუშავებელი საწარმოსთვის);
-  დასრულდა ტენდერი ტირიფონის სარწყავი სისტემის გამანაწილებლის (გ-3 გამანაწილებლის შიდა ქსელის და გ-3-2-1) და მისი სხვა რიგის გამანაწილებელი არხების რეაბილიტაციისთვის (შიდა ქართლი, გორი), ტენდერი ჩაიშალა, ვერ მოხერხდა გამარჯვებულის გამოვლენა. მიმდინარეობს სატენდერო დოკუმენტაციის ხელახლა მომზადება. 
-  მიმდინარეობს სამშენებლო სამუშაოები ქვემო ალაზანის გამანაწილებელი არხისა (გ-32 და გ-35)  და მისი სხვა რიგის გამანაწილებლების რეაბილიტაცია/მოდერნიზაციისთვის (კახეთი, გურჯაანი);</t>
    </r>
    <r>
      <rPr>
        <sz val="12"/>
        <color theme="1"/>
        <rFont val="Franklin Gothic Book"/>
        <family val="2"/>
        <scheme val="minor"/>
      </rPr>
      <t xml:space="preserve">
-  მიმდინარეობს სამშენებლო სამუშაოები სალთვისის სარწყავი სისტემის გამანაწილებლების (ალტერნეტიული და </t>
    </r>
    <r>
      <rPr>
        <sz val="12"/>
        <rFont val="Franklin Gothic Book"/>
        <family val="2"/>
        <scheme val="minor"/>
      </rPr>
      <t>ძლევიჯვარის არხები) და შიდა ქსელის რეაბილიტაციისთვის (შიდა ქართლი, გორი, ქარელი);
- დასრულდა  დეტალური პროექტის მომზადება</t>
    </r>
    <r>
      <rPr>
        <sz val="12"/>
        <color theme="1"/>
        <rFont val="Franklin Gothic Book"/>
        <family val="2"/>
        <scheme val="minor"/>
      </rPr>
      <t xml:space="preserve"> სალთვისის სარწყავი სისტემის გ-2 გამანაწილებელი არხისა და მისი სხვა რიგის გამანაწილებელი არხების რეაბილიტაციისთვის (შიდა ქართლი, გორი, ქარელი);
-</t>
    </r>
    <r>
      <rPr>
        <sz val="12"/>
        <rFont val="Franklin Gothic Book"/>
        <family val="2"/>
        <scheme val="minor"/>
      </rPr>
      <t xml:space="preserve"> მიმდინარეობს სამშენებლო სამუშაოები</t>
    </r>
    <r>
      <rPr>
        <sz val="12"/>
        <color rgb="FFFF0000"/>
        <rFont val="Franklin Gothic Book"/>
        <family val="2"/>
        <scheme val="minor"/>
      </rPr>
      <t xml:space="preserve"> </t>
    </r>
    <r>
      <rPr>
        <sz val="12"/>
        <color theme="1"/>
        <rFont val="Franklin Gothic Book"/>
        <family val="2"/>
        <scheme val="minor"/>
      </rPr>
      <t xml:space="preserve">იაკუბლოს წყალსაცავის რეაბილიტაციისთვის (ქვემო ქართლი, დმანისი);
</t>
    </r>
  </si>
  <si>
    <t>მდინარე რიონზე ფოთის ხიდის მშენებლობა (ADB)</t>
  </si>
  <si>
    <t>2019 წლის 31 ოქტომბრის  მდგომარეობით (ათას ერთეულში)</t>
  </si>
  <si>
    <t>ჩრდილოეთის რგოლი (EBRD), ნამახვანი - წყალტუბო - ლაჯანური(EBRD)</t>
  </si>
  <si>
    <t xml:space="preserve"> - აგარა - ზემო ოსიაურის მონაკვეთზე (დაახლოებით 12 კმ) ავტომაგისტრალის მშენებლობა (დასრულდა; მოძრაობა გახსნილია 7 კილომეტრიან მონაკვეთზე; დარჩენილ 5კმ-ზე მოძრაობა გაიხსნება მას შემდეგ, რაც დასრულდება მონაკვეთის - ზემო ოსიაური-ჩუმათელეთის მშენებლობა);
  - ნაპირსამაგრი ნაგებობის (დაახლოებით 3.4 კმ) მშენებლობა (დასრულდა);
  - რიკოთი - ზესტაფონის მონაკვეთზე ახალი ავტომაგისტრალის მშენებლობის ტექნიკურ - ეკონომიკური შესწავლა (მათ შორის რიკოთის მეორე გვირაბი) და სხვა მოსამზადებელი სამუშაოები (დასრულდა).
 - ჩუმათელეთი-ხევის, ჟინვალი-ლარსის და სამტრედია-ზუგდიდი-ანაკლიის მონაკვეთებზე დეტალური პროექტის მომზადების სამუშაოები დასრულდა
 - რუსთავი-წითელი ხიდი-სადახლოს და თბილისი-ლაგოდეხის მონაკვეთებზე მიმდინარეობს დეტალური პროექტის მომზადების სამუშაოები.</t>
  </si>
  <si>
    <t>ქობულეთის ახალი შემოვლითი გზის მშენებლობა (დაახლოებით 32 კმ სიგრძე) (პირველი მონაკვეთი (12.4 კმ + 1.3 კმ) გახსნილია, სამშენებლო სამუშაოები დასრულდა მეორე მონაკვეთზე (18 კმ), მოძრაობა გახსნილია).
- ხევი-არგვეთას მონაკვეთზე დასრულდა დეტალური პროექტის მომზადების სამუშაოები.
- თბილისის შემოსავლელი და ნატახტარი-ჟინვალის მონაკვეთზე მიმდინარეობს დეტალური პროექტის მომზადების სამუშაოები.</t>
  </si>
  <si>
    <t xml:space="preserve">  - ბათუმის შემოვლითი, 14.3 კილომეტრიანი, ორ ზოლიანი გზის მშენებლობა  (მიმდინარეობს  სამშენებლო სამუშაოები);
 - დაახლოებით 200 კილომეტრი სიგრძის საერთაშორისო და ადგილობრივი გზების მოვლა-შენახვა (დაგეგმილი).
- ბათუმი-სარფის მონაკვეთზე მიმდინარეობს  დეტალური პროექტის მომზადების სამუშაოები.</t>
  </si>
  <si>
    <t xml:space="preserve">  - აღმოსავლეთ-დასავლეთის ჩქაროსნული ავტომაგისტრალის დერეფნის ჩუმათელეთიდან ხევამდე დაახლოებით 11 კილომეტრიან მონაკვეთზე არსებული ორზოლიანი გზის გაუმჯობესება ოთხზოლიან მაგისტრალად (ტენდერში გამარჯვებულ სამშენებლო კომპანიასთან ხელშეკრულება გაფორმდა 2019 წლის 21 აგვისტოს და  დაიწყო  სამშენებლო სამუშაოები.
პროექტი განხორციელდება EIB-ის თანამონაწილეობით.</t>
  </si>
  <si>
    <t xml:space="preserve">საქართველოს სხვადასხვა რეგიონში (დაახლოებით 200 კმ საერთო სიგრძის) შიდასახელმწიფოებრივი და ადგილობრივი გზების რეაბილიტაცია  (პროექტის ფარგლებში მიმდინარეობს დამატებით 12 გზის (მთლიანობაში დაახლოებით 80 კმ) რეაბილიტაცია), საიდანაც 8 მონაკვეთი  დასრულებულია, 4 მონაკვეთზე მიმდინარეობს სამუშაოები.
- ბაკურციხე-წნორი და გურჯაანი-თელავის მონაკვეთზე მიმდინარეობს დეტალური პროექტის მომზადების სამუშაოები.  </t>
  </si>
  <si>
    <r>
      <rPr>
        <sz val="11"/>
        <color theme="1"/>
        <rFont val="Franklin Gothic Book"/>
        <family val="2"/>
        <scheme val="minor"/>
      </rPr>
      <t xml:space="preserve">
მესტიაში წყალმომარაგების სათავე ნაგებობის მშენებლობა (დასრულდა); 
- მესტიის წყალმომარაგებისა და კანალიზაციის ქსელების მშენებლობა - რეაბილიტაცია (დასრულდა); 
- მესტიის წყლის გამწმენდი ნაგებობის, ახალი რეზერვუარების მშენებლობა და არსებული რეზერვუარის რეაბილიტაცია (მიმდინარეობს მშენებლობა); 
- მესტიის წყალარინების გამწმენდი ნაგებობის პროექტირება-მშენებლობა რეაბილიტაცია (მშენებლობა დასრულდა; ჩასანიშნია საბოლოო ტესტირების დღე); 
 - ანაკლიაში წყალმომარაგების სათავე ნაგებობის მშენებლობა, წყალმომარაგებისა და კანალიზაციის ქსელების მშენებლობა- რეაბილიტაცია (დასრულდა); 
- ანაკლიის კანალიზაციის გამწმენდი ნაგებობის მშენებლობა (მიმდინარეობს შენახვის პროცედურები);
- ქუთაისში წყალმომარაგების სისტემების (რეზერვუარები, სატუმბი სადგურები, წყლის გამანაწილებელი ქსელი) მშენებლობა- რეაბილიტაცია (მიმდინარეობს სამშენებლო სამუშაოები);
- ფოთში წყალმომარაგების სისტემების მშენებლობა - რეაბილიტაცია (დასრულებულია); 
- ფოთში წყალარინების სისტემის რეაბილიტაცია (მიმდინარეობს სამშენებლო სამუშაოები); 
- ფოთში წყალარინების გამწმენდი ნაგებობის მშენებლობა (მიმდინარეობს სამშენებლო სამუშაოები);
- ურეკში წყალმომარაგებისა და კანალიზაციის სისტემების მშენებლობა (დასრულდა; მიმდინარეობს საგარანტიო პერიოდი);
- ურეკში კანალიზაციის გამწმენდი ნაგებობის მშენებლობა (დასრულდა; მიმდინარეობს ტესტირების პროცესები);
- ზუგდიდში წყალმომარაგების სისტემის მშენებლობა-რეაბილიტაცია (მიმდინარეობს სამშენებლო სამუშაოები);
- ზუგდიდში კანალიზაციის სისტემის მშენებლობა-რეაბილიტაცია (მიმდინარეობს სამშენებლო სამუშაოები);
- ზუგდიდში კანალიზაციის გამწმენდი ნაგებობის მშენებლობა (მიმდინარეობს სამშენებლო სამუშაოები);
- ჯვარის წყალმომარაგების სისტემის მშენებლობა (მიმდინარეობს სამშენებლო სამუშაოები);
- ჭიათურაში წყალმომარაგების სისტემის მშენებლობა (მიმდინარეობს სამშენებლო სამუშაოები);
- მარნეულში წყლისა და წყალარინების სისტემების მშენებლობა, ბოლნისის წყალარინების სისტემისა და კოლექტორის მშენებლობა  (მიმდინარეობს სამშენებლო სამუშაოები);
- მარნეულის წყალარინების გამწმენდი ნაგებობის პროექტირება-მშენებლობა (გამოვლინდა გამარჯვებული; ხელი მოეწერა ხელშეკრულებას);
- აბაშის მაგისტრალური ხაზის მშენებლობა (მიმდინარეობს სამშენებლო სამუშაოები);
- თელავის წყალმომარაგების სისტემის მშენებლობა (სატენდერო პროცედურები დასრულდა; ვერცერთმა კომპანიამ ვერ დააკმაყოფილა სატენდერო მოთხოვნები);
- გუდაურის წყლისა და წყალარინების სისტემების მშენებლობა (მიმდინარეობს საპროექტო სამუშაოები); 
- გუდაურის წყალარინების გამწმენდი ნაგებობების მშენებლობა (მიმდინარეობს საპროექტო სამუშაოები).</t>
    </r>
    <r>
      <rPr>
        <sz val="12"/>
        <color theme="1"/>
        <rFont val="Franklin Gothic Book"/>
        <family val="2"/>
        <scheme val="minor"/>
      </rPr>
      <t xml:space="preserve">
</t>
    </r>
    <r>
      <rPr>
        <sz val="11"/>
        <color theme="1"/>
        <rFont val="Franklin Gothic Book"/>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</si>
</sst>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dd\.mm\.yyyy"/>
    <numFmt numFmtId="166" formatCode="#,##0.00000"/>
    <numFmt numFmtId="167" formatCode="#,##0.000000000000"/>
  </numFmts>
  <fonts count="27">
    <font>
      <sz val="11"/>
      <color theme="1"/>
      <name val="Franklin Gothic Book"/>
      <family val="2"/>
      <scheme val="minor"/>
    </font>
    <font>
      <sz val="11"/>
      <color theme="1"/>
      <name val="Franklin Gothic Book"/>
      <family val="2"/>
      <scheme val="minor"/>
    </font>
    <font>
      <sz val="10"/>
      <name val="Arial"/>
      <family val="2"/>
    </font>
    <font>
      <sz val="10"/>
      <name val="Arial"/>
      <family val="2"/>
    </font>
    <font>
      <sz val="11"/>
      <name val="SPLiteraturuly"/>
    </font>
    <font>
      <sz val="12"/>
      <color theme="1"/>
      <name val="Franklin Gothic Book"/>
      <family val="2"/>
      <scheme val="minor"/>
    </font>
    <font>
      <sz val="12"/>
      <name val="Franklin Gothic Book"/>
      <family val="2"/>
      <scheme val="minor"/>
    </font>
    <font>
      <sz val="14"/>
      <name val="Franklin Gothic Book"/>
      <family val="2"/>
      <scheme val="minor"/>
    </font>
    <font>
      <sz val="14"/>
      <color theme="0"/>
      <name val="Franklin Gothic Book"/>
      <family val="2"/>
      <scheme val="minor"/>
    </font>
    <font>
      <b/>
      <sz val="14"/>
      <name val="Franklin Gothic Book"/>
      <family val="2"/>
      <scheme val="minor"/>
    </font>
    <font>
      <b/>
      <sz val="12"/>
      <name val="Franklin Gothic Book"/>
      <family val="2"/>
      <scheme val="minor"/>
    </font>
    <font>
      <sz val="12"/>
      <color rgb="FFFF0000"/>
      <name val="Franklin Gothic Book"/>
      <family val="2"/>
      <scheme val="minor"/>
    </font>
    <font>
      <sz val="12"/>
      <name val="Arial"/>
      <family val="2"/>
      <charset val="204"/>
    </font>
    <font>
      <b/>
      <sz val="14"/>
      <color theme="1"/>
      <name val="Franklin Gothic Book"/>
      <family val="2"/>
      <scheme val="minor"/>
    </font>
    <font>
      <b/>
      <sz val="14"/>
      <color theme="1"/>
      <name val="Calibri"/>
      <family val="2"/>
    </font>
    <font>
      <sz val="14"/>
      <color theme="1"/>
      <name val="Franklin Gothic Book"/>
      <family val="2"/>
      <scheme val="minor"/>
    </font>
    <font>
      <sz val="12"/>
      <name val="Franklin Gothic Book"/>
      <family val="1"/>
      <scheme val="minor"/>
    </font>
    <font>
      <sz val="12"/>
      <color theme="1" tint="0.14999847407452621"/>
      <name val="Franklin Gothic Book"/>
      <family val="2"/>
      <scheme val="minor"/>
    </font>
    <font>
      <b/>
      <sz val="12"/>
      <color theme="1"/>
      <name val="Franklin Gothic Book"/>
      <family val="2"/>
      <scheme val="minor"/>
    </font>
    <font>
      <sz val="16"/>
      <color theme="1"/>
      <name val="Franklin Gothic Book"/>
      <family val="2"/>
      <scheme val="minor"/>
    </font>
    <font>
      <sz val="16"/>
      <name val="Franklin Gothic Book"/>
      <family val="2"/>
      <scheme val="minor"/>
    </font>
    <font>
      <sz val="1"/>
      <color theme="1"/>
      <name val="Franklin Gothic Book"/>
      <family val="2"/>
      <scheme val="minor"/>
    </font>
    <font>
      <sz val="11"/>
      <name val="Franklin Gothic Book"/>
      <family val="2"/>
      <scheme val="minor"/>
    </font>
    <font>
      <b/>
      <sz val="10"/>
      <name val="Franklin Gothic Book"/>
      <family val="2"/>
      <scheme val="minor"/>
    </font>
    <font>
      <sz val="10"/>
      <name val="Franklin Gothic Book"/>
      <family val="2"/>
      <scheme val="minor"/>
    </font>
    <font>
      <sz val="11"/>
      <color rgb="FFFF0000"/>
      <name val="Franklin Gothic Book"/>
      <family val="2"/>
      <scheme val="minor"/>
    </font>
    <font>
      <b/>
      <sz val="11"/>
      <name val="Franklin Gothic Book"/>
      <family val="2"/>
      <scheme val="minor"/>
    </font>
  </fonts>
  <fills count="6">
    <fill>
      <patternFill patternType="none"/>
    </fill>
    <fill>
      <patternFill patternType="gray125"/>
    </fill>
    <fill>
      <patternFill patternType="solid">
        <fgColor theme="0"/>
        <bgColor indexed="64"/>
      </patternFill>
    </fill>
    <fill>
      <patternFill patternType="solid">
        <fgColor theme="9" tint="0.59996337778862885"/>
        <bgColor indexed="64"/>
      </patternFill>
    </fill>
    <fill>
      <patternFill patternType="solid">
        <fgColor theme="4" tint="0.59996337778862885"/>
        <bgColor indexed="64"/>
      </patternFill>
    </fill>
    <fill>
      <patternFill patternType="solid">
        <fgColor rgb="FFCCFFCC"/>
        <bgColor indexed="64"/>
      </patternFill>
    </fill>
  </fills>
  <borders count="43">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dotted">
        <color theme="0" tint="-0.499984740745262"/>
      </left>
      <right style="dotted">
        <color theme="0" tint="-0.499984740745262"/>
      </right>
      <top style="medium">
        <color indexed="64"/>
      </top>
      <bottom style="dotted">
        <color theme="0" tint="-0.499984740745262"/>
      </bottom>
      <diagonal/>
    </border>
    <border>
      <left style="dotted">
        <color theme="0" tint="-0.499984740745262"/>
      </left>
      <right style="dotted">
        <color theme="0" tint="-0.499984740745262"/>
      </right>
      <top style="dotted">
        <color theme="0" tint="-0.499984740745262"/>
      </top>
      <bottom style="dotted">
        <color theme="0" tint="-0.499984740745262"/>
      </bottom>
      <diagonal/>
    </border>
    <border>
      <left style="dotted">
        <color theme="0" tint="-0.499984740745262"/>
      </left>
      <right style="dotted">
        <color theme="0" tint="-0.499984740745262"/>
      </right>
      <top style="dotted">
        <color theme="0" tint="-0.499984740745262"/>
      </top>
      <bottom style="medium">
        <color indexed="64"/>
      </bottom>
      <diagonal/>
    </border>
    <border>
      <left style="medium">
        <color indexed="64"/>
      </left>
      <right style="dotted">
        <color theme="0" tint="-0.499984740745262"/>
      </right>
      <top style="medium">
        <color indexed="64"/>
      </top>
      <bottom style="dotted">
        <color theme="0" tint="-0.499984740745262"/>
      </bottom>
      <diagonal/>
    </border>
    <border>
      <left style="dotted">
        <color theme="0" tint="-0.499984740745262"/>
      </left>
      <right style="medium">
        <color indexed="64"/>
      </right>
      <top style="medium">
        <color indexed="64"/>
      </top>
      <bottom style="dotted">
        <color theme="0" tint="-0.499984740745262"/>
      </bottom>
      <diagonal/>
    </border>
    <border>
      <left style="medium">
        <color indexed="64"/>
      </left>
      <right style="dotted">
        <color theme="0" tint="-0.499984740745262"/>
      </right>
      <top style="dotted">
        <color theme="0" tint="-0.499984740745262"/>
      </top>
      <bottom style="dotted">
        <color theme="0" tint="-0.499984740745262"/>
      </bottom>
      <diagonal/>
    </border>
    <border>
      <left style="dotted">
        <color theme="0" tint="-0.499984740745262"/>
      </left>
      <right style="medium">
        <color indexed="64"/>
      </right>
      <top style="dotted">
        <color theme="0" tint="-0.499984740745262"/>
      </top>
      <bottom style="dotted">
        <color theme="0" tint="-0.499984740745262"/>
      </bottom>
      <diagonal/>
    </border>
    <border>
      <left style="medium">
        <color indexed="64"/>
      </left>
      <right style="dotted">
        <color theme="0" tint="-0.499984740745262"/>
      </right>
      <top style="dotted">
        <color theme="0" tint="-0.499984740745262"/>
      </top>
      <bottom style="medium">
        <color indexed="64"/>
      </bottom>
      <diagonal/>
    </border>
    <border>
      <left style="dotted">
        <color theme="0" tint="-0.499984740745262"/>
      </left>
      <right style="medium">
        <color indexed="64"/>
      </right>
      <top style="dotted">
        <color theme="0" tint="-0.499984740745262"/>
      </top>
      <bottom style="medium">
        <color indexed="64"/>
      </bottom>
      <diagonal/>
    </border>
    <border>
      <left style="medium">
        <color indexed="64"/>
      </left>
      <right style="dotted">
        <color theme="1" tint="4.9989318521683403E-2"/>
      </right>
      <top style="medium">
        <color indexed="64"/>
      </top>
      <bottom style="dotted">
        <color theme="1" tint="4.9989318521683403E-2"/>
      </bottom>
      <diagonal/>
    </border>
    <border>
      <left style="dotted">
        <color theme="1" tint="4.9989318521683403E-2"/>
      </left>
      <right style="dotted">
        <color theme="1" tint="4.9989318521683403E-2"/>
      </right>
      <top style="medium">
        <color indexed="64"/>
      </top>
      <bottom style="dotted">
        <color theme="1" tint="4.9989318521683403E-2"/>
      </bottom>
      <diagonal/>
    </border>
    <border>
      <left style="dotted">
        <color theme="1" tint="4.9989318521683403E-2"/>
      </left>
      <right style="medium">
        <color indexed="64"/>
      </right>
      <top style="medium">
        <color indexed="64"/>
      </top>
      <bottom style="dotted">
        <color theme="1" tint="4.9989318521683403E-2"/>
      </bottom>
      <diagonal/>
    </border>
    <border>
      <left style="medium">
        <color indexed="64"/>
      </left>
      <right style="dotted">
        <color theme="1" tint="4.9989318521683403E-2"/>
      </right>
      <top style="dotted">
        <color theme="1" tint="4.9989318521683403E-2"/>
      </top>
      <bottom style="dotted">
        <color theme="1" tint="4.9989318521683403E-2"/>
      </bottom>
      <diagonal/>
    </border>
    <border>
      <left style="dotted">
        <color theme="1" tint="4.9989318521683403E-2"/>
      </left>
      <right style="dotted">
        <color theme="1" tint="4.9989318521683403E-2"/>
      </right>
      <top style="dotted">
        <color theme="1" tint="4.9989318521683403E-2"/>
      </top>
      <bottom style="dotted">
        <color theme="1" tint="4.9989318521683403E-2"/>
      </bottom>
      <diagonal/>
    </border>
    <border>
      <left style="dotted">
        <color theme="1" tint="4.9989318521683403E-2"/>
      </left>
      <right style="medium">
        <color indexed="64"/>
      </right>
      <top style="dotted">
        <color theme="1" tint="4.9989318521683403E-2"/>
      </top>
      <bottom style="dotted">
        <color theme="1" tint="4.9989318521683403E-2"/>
      </bottom>
      <diagonal/>
    </border>
    <border>
      <left style="medium">
        <color indexed="64"/>
      </left>
      <right style="dotted">
        <color theme="1" tint="4.9989318521683403E-2"/>
      </right>
      <top style="dotted">
        <color theme="1" tint="4.9989318521683403E-2"/>
      </top>
      <bottom style="medium">
        <color indexed="64"/>
      </bottom>
      <diagonal/>
    </border>
    <border>
      <left style="dotted">
        <color theme="1" tint="4.9989318521683403E-2"/>
      </left>
      <right style="dotted">
        <color theme="1" tint="4.9989318521683403E-2"/>
      </right>
      <top style="dotted">
        <color theme="1" tint="4.9989318521683403E-2"/>
      </top>
      <bottom style="medium">
        <color indexed="64"/>
      </bottom>
      <diagonal/>
    </border>
    <border>
      <left style="dotted">
        <color theme="1" tint="4.9989318521683403E-2"/>
      </left>
      <right style="medium">
        <color indexed="64"/>
      </right>
      <top style="dotted">
        <color theme="1" tint="4.9989318521683403E-2"/>
      </top>
      <bottom style="medium">
        <color indexed="64"/>
      </bottom>
      <diagonal/>
    </border>
    <border>
      <left style="dotted">
        <color theme="0" tint="-0.499984740745262"/>
      </left>
      <right style="medium">
        <color indexed="64"/>
      </right>
      <top style="dotted">
        <color theme="0" tint="-0.499984740745262"/>
      </top>
      <bottom/>
      <diagonal/>
    </border>
    <border>
      <left style="dotted">
        <color theme="0" tint="-0.499984740745262"/>
      </left>
      <right style="medium">
        <color indexed="64"/>
      </right>
      <top/>
      <bottom style="dotted">
        <color theme="0" tint="-0.499984740745262"/>
      </bottom>
      <diagonal/>
    </border>
    <border>
      <left style="dotted">
        <color theme="0" tint="-0.499984740745262"/>
      </left>
      <right style="medium">
        <color indexed="64"/>
      </right>
      <top style="medium">
        <color indexed="64"/>
      </top>
      <bottom/>
      <diagonal/>
    </border>
    <border>
      <left style="dotted">
        <color theme="0" tint="-0.499984740745262"/>
      </left>
      <right style="dotted">
        <color theme="0" tint="-0.499984740745262"/>
      </right>
      <top style="dotted">
        <color theme="0" tint="-0.499984740745262"/>
      </top>
      <bottom/>
      <diagonal/>
    </border>
    <border>
      <left style="dotted">
        <color theme="0" tint="-0.499984740745262"/>
      </left>
      <right style="dotted">
        <color theme="0" tint="-0.499984740745262"/>
      </right>
      <top/>
      <bottom/>
      <diagonal/>
    </border>
    <border>
      <left style="dotted">
        <color theme="0" tint="-0.499984740745262"/>
      </left>
      <right style="dotted">
        <color theme="0" tint="-0.499984740745262"/>
      </right>
      <top/>
      <bottom style="dotted">
        <color theme="0" tint="-0.499984740745262"/>
      </bottom>
      <diagonal/>
    </border>
    <border>
      <left style="medium">
        <color indexed="64"/>
      </left>
      <right style="dotted">
        <color theme="0" tint="-0.499984740745262"/>
      </right>
      <top style="dotted">
        <color theme="0" tint="-0.499984740745262"/>
      </top>
      <bottom/>
      <diagonal/>
    </border>
    <border>
      <left style="medium">
        <color indexed="64"/>
      </left>
      <right style="dotted">
        <color theme="0" tint="-0.499984740745262"/>
      </right>
      <top/>
      <bottom style="dotted">
        <color theme="0" tint="-0.499984740745262"/>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theme="1" tint="4.9989318521683403E-2"/>
      </left>
      <right style="dotted">
        <color theme="1" tint="4.9989318521683403E-2"/>
      </right>
      <top style="dotted">
        <color theme="1" tint="4.9989318521683403E-2"/>
      </top>
      <bottom/>
      <diagonal/>
    </border>
    <border>
      <left style="dotted">
        <color theme="1" tint="4.9989318521683403E-2"/>
      </left>
      <right style="dotted">
        <color theme="1" tint="4.9989318521683403E-2"/>
      </right>
      <top/>
      <bottom style="dotted">
        <color theme="1" tint="4.9989318521683403E-2"/>
      </bottom>
      <diagonal/>
    </border>
  </borders>
  <cellStyleXfs count="16">
    <xf numFmtId="0" fontId="0" fillId="0" borderId="0"/>
    <xf numFmtId="0" fontId="2" fillId="0" borderId="0"/>
    <xf numFmtId="43" fontId="3" fillId="0" borderId="0" applyFont="0" applyFill="0" applyBorder="0" applyAlignment="0" applyProtection="0"/>
    <xf numFmtId="9" fontId="3" fillId="0" borderId="0" applyFont="0" applyFill="0" applyBorder="0" applyAlignment="0" applyProtection="0"/>
    <xf numFmtId="0" fontId="1" fillId="0" borderId="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3" fillId="0" borderId="0"/>
    <xf numFmtId="0" fontId="1" fillId="0" borderId="0"/>
    <xf numFmtId="0" fontId="1" fillId="0" borderId="0"/>
    <xf numFmtId="9" fontId="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43" fontId="1" fillId="0" borderId="0" applyFont="0" applyFill="0" applyBorder="0" applyAlignment="0" applyProtection="0"/>
  </cellStyleXfs>
  <cellXfs count="279">
    <xf numFmtId="0" fontId="0" fillId="0" borderId="0" xfId="0"/>
    <xf numFmtId="0" fontId="6" fillId="0" borderId="0" xfId="1" applyFont="1" applyFill="1" applyBorder="1" applyAlignment="1">
      <alignment vertical="center"/>
    </xf>
    <xf numFmtId="164" fontId="6" fillId="0" borderId="0" xfId="1" applyNumberFormat="1" applyFont="1" applyFill="1" applyBorder="1" applyAlignment="1">
      <alignment vertical="center"/>
    </xf>
    <xf numFmtId="0" fontId="6" fillId="0" borderId="0" xfId="1" applyFont="1" applyFill="1" applyBorder="1" applyAlignment="1">
      <alignment vertical="center" wrapText="1"/>
    </xf>
    <xf numFmtId="0" fontId="6" fillId="0" borderId="0" xfId="1" applyFont="1" applyFill="1" applyBorder="1" applyAlignment="1">
      <alignment horizontal="left" vertical="center"/>
    </xf>
    <xf numFmtId="0" fontId="5" fillId="0" borderId="0" xfId="1" applyFont="1" applyFill="1" applyBorder="1" applyAlignment="1">
      <alignment vertical="center"/>
    </xf>
    <xf numFmtId="0" fontId="5" fillId="0" borderId="0" xfId="1" applyFont="1" applyFill="1" applyBorder="1" applyAlignment="1">
      <alignment vertical="center" wrapText="1"/>
    </xf>
    <xf numFmtId="0" fontId="7" fillId="0" borderId="0" xfId="1" applyFont="1" applyFill="1" applyBorder="1" applyAlignment="1">
      <alignment vertical="center"/>
    </xf>
    <xf numFmtId="0" fontId="8" fillId="0" borderId="0" xfId="1" applyFont="1" applyFill="1" applyBorder="1" applyAlignment="1">
      <alignment vertical="center"/>
    </xf>
    <xf numFmtId="164" fontId="9" fillId="0" borderId="0" xfId="1" applyNumberFormat="1" applyFont="1" applyFill="1" applyBorder="1" applyAlignment="1">
      <alignment vertical="center"/>
    </xf>
    <xf numFmtId="0" fontId="11" fillId="0" borderId="0" xfId="1" applyFont="1" applyFill="1" applyBorder="1" applyAlignment="1">
      <alignment vertical="center"/>
    </xf>
    <xf numFmtId="166" fontId="7" fillId="0" borderId="0" xfId="1" applyNumberFormat="1" applyFont="1" applyFill="1" applyBorder="1" applyAlignment="1">
      <alignment vertical="center"/>
    </xf>
    <xf numFmtId="164" fontId="8" fillId="0" borderId="0" xfId="1" applyNumberFormat="1" applyFont="1" applyFill="1" applyBorder="1" applyAlignment="1">
      <alignment vertical="center"/>
    </xf>
    <xf numFmtId="49" fontId="10" fillId="0" borderId="0" xfId="1" applyNumberFormat="1" applyFont="1" applyFill="1" applyBorder="1" applyAlignment="1" applyProtection="1">
      <alignment horizontal="left" vertical="center" wrapText="1" readingOrder="1"/>
      <protection locked="0"/>
    </xf>
    <xf numFmtId="0" fontId="6" fillId="0" borderId="0" xfId="1" applyFont="1" applyFill="1" applyBorder="1" applyAlignment="1">
      <alignment vertical="center"/>
    </xf>
    <xf numFmtId="164" fontId="6" fillId="0" borderId="0" xfId="1" applyNumberFormat="1" applyFont="1" applyFill="1" applyBorder="1" applyAlignment="1">
      <alignment vertical="center"/>
    </xf>
    <xf numFmtId="0" fontId="6" fillId="0" borderId="0" xfId="1" applyFont="1" applyFill="1" applyBorder="1" applyAlignment="1">
      <alignment vertical="center" wrapText="1"/>
    </xf>
    <xf numFmtId="49" fontId="6" fillId="0" borderId="0" xfId="1" applyNumberFormat="1" applyFont="1" applyFill="1" applyBorder="1" applyAlignment="1">
      <alignment vertical="center"/>
    </xf>
    <xf numFmtId="0" fontId="10" fillId="0" borderId="0" xfId="1" applyFont="1" applyFill="1" applyBorder="1" applyAlignment="1" applyProtection="1">
      <alignment horizontal="left" vertical="center" wrapText="1"/>
      <protection locked="0"/>
    </xf>
    <xf numFmtId="0" fontId="10" fillId="0" borderId="0" xfId="1" applyFont="1" applyFill="1" applyBorder="1" applyAlignment="1" applyProtection="1">
      <alignment horizontal="left" vertical="center" wrapText="1" readingOrder="1"/>
      <protection locked="0"/>
    </xf>
    <xf numFmtId="165" fontId="5" fillId="0" borderId="13" xfId="1" applyNumberFormat="1" applyFont="1" applyFill="1" applyBorder="1" applyAlignment="1">
      <alignment horizontal="center" vertical="center" wrapText="1"/>
    </xf>
    <xf numFmtId="0" fontId="13" fillId="0" borderId="0" xfId="1" applyFont="1" applyFill="1" applyBorder="1" applyAlignment="1">
      <alignment vertical="center"/>
    </xf>
    <xf numFmtId="0" fontId="13" fillId="0" borderId="0" xfId="1" applyFont="1" applyFill="1" applyBorder="1" applyAlignment="1">
      <alignment vertical="center" wrapText="1"/>
    </xf>
    <xf numFmtId="164" fontId="13" fillId="0" borderId="0" xfId="1" applyNumberFormat="1" applyFont="1" applyFill="1" applyBorder="1" applyAlignment="1">
      <alignment vertical="center"/>
    </xf>
    <xf numFmtId="15" fontId="5" fillId="0" borderId="0" xfId="1" applyNumberFormat="1" applyFont="1" applyFill="1" applyBorder="1" applyAlignment="1">
      <alignment vertical="center" wrapText="1"/>
    </xf>
    <xf numFmtId="15" fontId="5" fillId="0" borderId="0" xfId="1" applyNumberFormat="1" applyFont="1" applyFill="1" applyBorder="1" applyAlignment="1">
      <alignment vertical="center"/>
    </xf>
    <xf numFmtId="0" fontId="5" fillId="3" borderId="0" xfId="1" applyFont="1" applyFill="1" applyBorder="1" applyAlignment="1">
      <alignment vertical="center" wrapText="1"/>
    </xf>
    <xf numFmtId="0" fontId="15" fillId="3" borderId="0" xfId="1" applyNumberFormat="1" applyFont="1" applyFill="1" applyBorder="1" applyAlignment="1">
      <alignment horizontal="center" vertical="center" wrapText="1"/>
    </xf>
    <xf numFmtId="0" fontId="15" fillId="3" borderId="0" xfId="1" applyFont="1" applyFill="1" applyBorder="1" applyAlignment="1">
      <alignment horizontal="center" vertical="center" wrapText="1"/>
    </xf>
    <xf numFmtId="0" fontId="5" fillId="3" borderId="0" xfId="11" applyNumberFormat="1" applyFont="1" applyFill="1" applyBorder="1" applyAlignment="1">
      <alignment horizontal="center" vertical="center" wrapText="1"/>
    </xf>
    <xf numFmtId="164" fontId="13" fillId="4" borderId="4" xfId="1" applyNumberFormat="1" applyFont="1" applyFill="1" applyBorder="1" applyAlignment="1">
      <alignment horizontal="center" vertical="center"/>
    </xf>
    <xf numFmtId="164" fontId="15" fillId="4" borderId="3" xfId="1" applyNumberFormat="1" applyFont="1" applyFill="1" applyBorder="1" applyAlignment="1">
      <alignment horizontal="center" vertical="center"/>
    </xf>
    <xf numFmtId="164" fontId="5" fillId="0" borderId="12" xfId="1" applyNumberFormat="1" applyFont="1" applyFill="1" applyBorder="1" applyAlignment="1">
      <alignment horizontal="center" vertical="center"/>
    </xf>
    <xf numFmtId="164" fontId="5" fillId="0" borderId="13" xfId="1" applyNumberFormat="1" applyFont="1" applyFill="1" applyBorder="1" applyAlignment="1">
      <alignment horizontal="center" vertical="center"/>
    </xf>
    <xf numFmtId="164" fontId="5" fillId="0" borderId="13" xfId="1" applyNumberFormat="1" applyFont="1" applyFill="1" applyBorder="1" applyAlignment="1">
      <alignment horizontal="center" vertical="center" wrapText="1"/>
    </xf>
    <xf numFmtId="43" fontId="5" fillId="0" borderId="13" xfId="15" applyFont="1" applyFill="1" applyBorder="1" applyAlignment="1">
      <alignment horizontal="center" vertical="center"/>
    </xf>
    <xf numFmtId="165" fontId="5" fillId="2" borderId="13" xfId="1" applyNumberFormat="1" applyFont="1" applyFill="1" applyBorder="1" applyAlignment="1">
      <alignment horizontal="center" vertical="center" wrapText="1"/>
    </xf>
    <xf numFmtId="165" fontId="5" fillId="0" borderId="14" xfId="1" applyNumberFormat="1" applyFont="1" applyFill="1" applyBorder="1" applyAlignment="1">
      <alignment horizontal="center" vertical="center" wrapText="1"/>
    </xf>
    <xf numFmtId="164" fontId="5" fillId="0" borderId="14" xfId="1" applyNumberFormat="1" applyFont="1" applyFill="1" applyBorder="1" applyAlignment="1">
      <alignment horizontal="center" vertical="center"/>
    </xf>
    <xf numFmtId="164" fontId="5" fillId="0" borderId="14" xfId="1" applyNumberFormat="1" applyFont="1" applyFill="1" applyBorder="1" applyAlignment="1">
      <alignment horizontal="center" vertical="center" wrapText="1"/>
    </xf>
    <xf numFmtId="164" fontId="13" fillId="3" borderId="4" xfId="1" applyNumberFormat="1" applyFont="1" applyFill="1" applyBorder="1" applyAlignment="1">
      <alignment horizontal="center" vertical="center"/>
    </xf>
    <xf numFmtId="164" fontId="15" fillId="3" borderId="3" xfId="1" applyNumberFormat="1" applyFont="1" applyFill="1" applyBorder="1" applyAlignment="1">
      <alignment horizontal="center" vertical="center"/>
    </xf>
    <xf numFmtId="165" fontId="5" fillId="0" borderId="22" xfId="1" applyNumberFormat="1" applyFont="1" applyFill="1" applyBorder="1" applyAlignment="1">
      <alignment horizontal="center" vertical="center" wrapText="1"/>
    </xf>
    <xf numFmtId="164" fontId="5" fillId="0" borderId="22" xfId="1" applyNumberFormat="1" applyFont="1" applyFill="1" applyBorder="1" applyAlignment="1">
      <alignment horizontal="center" vertical="center"/>
    </xf>
    <xf numFmtId="164" fontId="5" fillId="0" borderId="22" xfId="1" applyNumberFormat="1" applyFont="1" applyFill="1" applyBorder="1" applyAlignment="1">
      <alignment horizontal="center" vertical="center" wrapText="1"/>
    </xf>
    <xf numFmtId="164" fontId="5" fillId="0" borderId="25" xfId="1" quotePrefix="1" applyNumberFormat="1" applyFont="1" applyFill="1" applyBorder="1" applyAlignment="1">
      <alignment horizontal="center" vertical="center"/>
    </xf>
    <xf numFmtId="164" fontId="5" fillId="2" borderId="25" xfId="1" applyNumberFormat="1" applyFont="1" applyFill="1" applyBorder="1" applyAlignment="1">
      <alignment horizontal="center" vertical="center"/>
    </xf>
    <xf numFmtId="165" fontId="5" fillId="0" borderId="28" xfId="1" applyNumberFormat="1" applyFont="1" applyFill="1" applyBorder="1" applyAlignment="1">
      <alignment horizontal="center" vertical="center" wrapText="1"/>
    </xf>
    <xf numFmtId="164" fontId="5" fillId="0" borderId="28" xfId="1" applyNumberFormat="1" applyFont="1" applyFill="1" applyBorder="1" applyAlignment="1">
      <alignment horizontal="center" vertical="center"/>
    </xf>
    <xf numFmtId="43" fontId="5" fillId="0" borderId="28" xfId="15" applyFont="1" applyFill="1" applyBorder="1" applyAlignment="1">
      <alignment horizontal="center" vertical="center"/>
    </xf>
    <xf numFmtId="164" fontId="5" fillId="5" borderId="28" xfId="1" applyNumberFormat="1" applyFont="1" applyFill="1" applyBorder="1" applyAlignment="1">
      <alignment horizontal="center" vertical="center" wrapText="1"/>
    </xf>
    <xf numFmtId="165" fontId="5" fillId="0" borderId="12" xfId="1" applyNumberFormat="1" applyFont="1" applyFill="1" applyBorder="1" applyAlignment="1">
      <alignment horizontal="center" vertical="center" wrapText="1"/>
    </xf>
    <xf numFmtId="164" fontId="5" fillId="2" borderId="12" xfId="1" applyNumberFormat="1" applyFont="1" applyFill="1" applyBorder="1" applyAlignment="1">
      <alignment horizontal="center" vertical="center"/>
    </xf>
    <xf numFmtId="164" fontId="5" fillId="0" borderId="12" xfId="1" applyNumberFormat="1" applyFont="1" applyFill="1" applyBorder="1" applyAlignment="1">
      <alignment horizontal="center" vertical="center" wrapText="1"/>
    </xf>
    <xf numFmtId="164" fontId="5" fillId="2" borderId="13" xfId="1" applyNumberFormat="1" applyFont="1" applyFill="1" applyBorder="1" applyAlignment="1">
      <alignment horizontal="center" vertical="center"/>
    </xf>
    <xf numFmtId="164" fontId="5" fillId="2" borderId="14" xfId="1" applyNumberFormat="1" applyFont="1" applyFill="1" applyBorder="1" applyAlignment="1">
      <alignment horizontal="center" vertical="center"/>
    </xf>
    <xf numFmtId="165" fontId="5" fillId="2" borderId="12" xfId="1" applyNumberFormat="1" applyFont="1" applyFill="1" applyBorder="1" applyAlignment="1">
      <alignment horizontal="center" vertical="center" wrapText="1"/>
    </xf>
    <xf numFmtId="165" fontId="5" fillId="2" borderId="13" xfId="1" applyNumberFormat="1" applyFont="1" applyFill="1" applyBorder="1" applyAlignment="1">
      <alignment horizontal="center" vertical="center"/>
    </xf>
    <xf numFmtId="165" fontId="5" fillId="2" borderId="14" xfId="1" applyNumberFormat="1" applyFont="1" applyFill="1" applyBorder="1" applyAlignment="1">
      <alignment horizontal="center" vertical="center" wrapText="1"/>
    </xf>
    <xf numFmtId="164" fontId="15" fillId="0" borderId="3" xfId="1" applyNumberFormat="1" applyFont="1" applyFill="1" applyBorder="1" applyAlignment="1">
      <alignment horizontal="center" vertical="center"/>
    </xf>
    <xf numFmtId="164" fontId="13" fillId="0" borderId="0" xfId="1" applyNumberFormat="1" applyFont="1" applyFill="1" applyBorder="1" applyAlignment="1">
      <alignment horizontal="center" vertical="center" wrapText="1"/>
    </xf>
    <xf numFmtId="0" fontId="15" fillId="0" borderId="0" xfId="1" applyFont="1" applyFill="1" applyBorder="1" applyAlignment="1">
      <alignment vertical="center"/>
    </xf>
    <xf numFmtId="164" fontId="13" fillId="0" borderId="0" xfId="1" applyNumberFormat="1" applyFont="1" applyFill="1" applyBorder="1" applyAlignment="1">
      <alignment horizontal="center" vertical="center"/>
    </xf>
    <xf numFmtId="165" fontId="5" fillId="0" borderId="13" xfId="1" applyNumberFormat="1" applyFont="1" applyFill="1" applyBorder="1" applyAlignment="1">
      <alignment horizontal="center" vertical="center" wrapText="1"/>
    </xf>
    <xf numFmtId="164" fontId="5" fillId="0" borderId="13" xfId="1" applyNumberFormat="1" applyFont="1" applyFill="1" applyBorder="1" applyAlignment="1">
      <alignment horizontal="center" vertical="center"/>
    </xf>
    <xf numFmtId="164" fontId="5" fillId="0" borderId="12" xfId="1" applyNumberFormat="1" applyFont="1" applyFill="1" applyBorder="1" applyAlignment="1">
      <alignment horizontal="center" vertical="center"/>
    </xf>
    <xf numFmtId="164" fontId="5" fillId="0" borderId="13" xfId="1" applyNumberFormat="1" applyFont="1" applyFill="1" applyBorder="1" applyAlignment="1">
      <alignment horizontal="center" vertical="center" wrapText="1"/>
    </xf>
    <xf numFmtId="164" fontId="5" fillId="0" borderId="25" xfId="1" applyNumberFormat="1" applyFont="1" applyFill="1" applyBorder="1" applyAlignment="1">
      <alignment horizontal="center" vertical="center"/>
    </xf>
    <xf numFmtId="165" fontId="5" fillId="0" borderId="25" xfId="1" applyNumberFormat="1" applyFont="1" applyFill="1" applyBorder="1" applyAlignment="1">
      <alignment horizontal="center" vertical="center" wrapText="1"/>
    </xf>
    <xf numFmtId="164" fontId="5" fillId="0" borderId="25" xfId="1" applyNumberFormat="1" applyFont="1" applyFill="1" applyBorder="1" applyAlignment="1">
      <alignment horizontal="center" vertical="center" wrapText="1"/>
    </xf>
    <xf numFmtId="49" fontId="6" fillId="0" borderId="18" xfId="1" applyNumberFormat="1" applyFont="1" applyFill="1" applyBorder="1" applyAlignment="1">
      <alignment horizontal="left" vertical="center" wrapText="1"/>
    </xf>
    <xf numFmtId="0" fontId="6" fillId="0" borderId="17" xfId="1" applyFont="1" applyFill="1" applyBorder="1" applyAlignment="1">
      <alignment horizontal="left" vertical="center" wrapText="1"/>
    </xf>
    <xf numFmtId="164" fontId="6" fillId="0" borderId="13" xfId="1" applyNumberFormat="1" applyFont="1" applyFill="1" applyBorder="1" applyAlignment="1">
      <alignment horizontal="center" vertical="center"/>
    </xf>
    <xf numFmtId="164" fontId="5" fillId="0" borderId="13" xfId="1" applyNumberFormat="1" applyFont="1" applyFill="1" applyBorder="1" applyAlignment="1">
      <alignment horizontal="center" vertical="center" wrapText="1"/>
    </xf>
    <xf numFmtId="164" fontId="5" fillId="0" borderId="13" xfId="1" applyNumberFormat="1" applyFont="1" applyFill="1" applyBorder="1" applyAlignment="1">
      <alignment horizontal="center" vertical="center"/>
    </xf>
    <xf numFmtId="49" fontId="6" fillId="0" borderId="20" xfId="1" applyNumberFormat="1" applyFont="1" applyFill="1" applyBorder="1" applyAlignment="1">
      <alignment horizontal="left" vertical="center" wrapText="1"/>
    </xf>
    <xf numFmtId="164" fontId="16" fillId="0" borderId="13" xfId="1" applyNumberFormat="1" applyFont="1" applyFill="1" applyBorder="1" applyAlignment="1">
      <alignment horizontal="center" vertical="center"/>
    </xf>
    <xf numFmtId="164" fontId="11" fillId="0" borderId="13" xfId="1" applyNumberFormat="1" applyFont="1" applyFill="1" applyBorder="1" applyAlignment="1">
      <alignment horizontal="center" vertical="center"/>
    </xf>
    <xf numFmtId="165" fontId="11" fillId="0" borderId="13" xfId="1" applyNumberFormat="1" applyFont="1" applyFill="1" applyBorder="1" applyAlignment="1">
      <alignment horizontal="center" vertical="center" wrapText="1"/>
    </xf>
    <xf numFmtId="164" fontId="6" fillId="0" borderId="22" xfId="1" applyNumberFormat="1" applyFont="1" applyFill="1" applyBorder="1" applyAlignment="1">
      <alignment horizontal="center" vertical="center"/>
    </xf>
    <xf numFmtId="164" fontId="6" fillId="0" borderId="25" xfId="1" applyNumberFormat="1" applyFont="1" applyFill="1" applyBorder="1" applyAlignment="1">
      <alignment horizontal="center" vertical="center"/>
    </xf>
    <xf numFmtId="164" fontId="6" fillId="0" borderId="14" xfId="1" applyNumberFormat="1" applyFont="1" applyFill="1" applyBorder="1" applyAlignment="1">
      <alignment horizontal="center" vertical="center"/>
    </xf>
    <xf numFmtId="165" fontId="17" fillId="2" borderId="25" xfId="1" applyNumberFormat="1" applyFont="1" applyFill="1" applyBorder="1" applyAlignment="1">
      <alignment horizontal="center" vertical="center" wrapText="1"/>
    </xf>
    <xf numFmtId="164" fontId="5" fillId="0" borderId="12" xfId="1" applyNumberFormat="1" applyFont="1" applyFill="1" applyBorder="1" applyAlignment="1">
      <alignment horizontal="center" vertical="center"/>
    </xf>
    <xf numFmtId="164" fontId="5" fillId="0" borderId="13" xfId="1" applyNumberFormat="1" applyFont="1" applyFill="1" applyBorder="1" applyAlignment="1">
      <alignment horizontal="center" vertical="center"/>
    </xf>
    <xf numFmtId="164" fontId="5" fillId="0" borderId="25" xfId="1" applyNumberFormat="1" applyFont="1" applyFill="1" applyBorder="1" applyAlignment="1">
      <alignment horizontal="center" vertical="center"/>
    </xf>
    <xf numFmtId="164" fontId="11" fillId="0" borderId="12" xfId="1" applyNumberFormat="1" applyFont="1" applyFill="1" applyBorder="1" applyAlignment="1">
      <alignment horizontal="center" vertical="center"/>
    </xf>
    <xf numFmtId="164" fontId="11" fillId="2" borderId="13" xfId="1" applyNumberFormat="1" applyFont="1" applyFill="1" applyBorder="1" applyAlignment="1">
      <alignment horizontal="center" vertical="center"/>
    </xf>
    <xf numFmtId="164" fontId="11" fillId="0" borderId="13" xfId="1" applyNumberFormat="1" applyFont="1" applyFill="1" applyBorder="1" applyAlignment="1">
      <alignment horizontal="center" vertical="center" wrapText="1"/>
    </xf>
    <xf numFmtId="15" fontId="6" fillId="0" borderId="0" xfId="1" applyNumberFormat="1" applyFont="1" applyFill="1" applyBorder="1" applyAlignment="1">
      <alignment vertical="center"/>
    </xf>
    <xf numFmtId="0" fontId="7" fillId="3" borderId="0" xfId="1" applyNumberFormat="1" applyFont="1" applyFill="1" applyBorder="1" applyAlignment="1">
      <alignment horizontal="center" vertical="center" wrapText="1"/>
    </xf>
    <xf numFmtId="164" fontId="9" fillId="4" borderId="4" xfId="1" applyNumberFormat="1" applyFont="1" applyFill="1" applyBorder="1" applyAlignment="1">
      <alignment horizontal="center" vertical="center"/>
    </xf>
    <xf numFmtId="164" fontId="9" fillId="3" borderId="4" xfId="1" applyNumberFormat="1" applyFont="1" applyFill="1" applyBorder="1" applyAlignment="1">
      <alignment horizontal="center" vertical="center"/>
    </xf>
    <xf numFmtId="164" fontId="6" fillId="0" borderId="28" xfId="1" applyNumberFormat="1" applyFont="1" applyFill="1" applyBorder="1" applyAlignment="1">
      <alignment horizontal="center" vertical="center"/>
    </xf>
    <xf numFmtId="164" fontId="6" fillId="0" borderId="12" xfId="1" applyNumberFormat="1" applyFont="1" applyFill="1" applyBorder="1" applyAlignment="1">
      <alignment horizontal="center" vertical="center"/>
    </xf>
    <xf numFmtId="0" fontId="18" fillId="0" borderId="0" xfId="1" applyFont="1" applyFill="1" applyBorder="1" applyAlignment="1" applyProtection="1">
      <alignment horizontal="left" vertical="center" wrapText="1" readingOrder="1"/>
      <protection locked="0"/>
    </xf>
    <xf numFmtId="164" fontId="5" fillId="0" borderId="0" xfId="1" applyNumberFormat="1" applyFont="1" applyFill="1" applyBorder="1" applyAlignment="1">
      <alignment vertical="center"/>
    </xf>
    <xf numFmtId="164" fontId="5" fillId="0" borderId="13" xfId="1" applyNumberFormat="1" applyFont="1" applyFill="1" applyBorder="1" applyAlignment="1">
      <alignment horizontal="center" vertical="center"/>
    </xf>
    <xf numFmtId="164" fontId="5" fillId="0" borderId="13" xfId="1" applyNumberFormat="1" applyFont="1" applyFill="1" applyBorder="1" applyAlignment="1">
      <alignment horizontal="center" vertical="center" wrapText="1"/>
    </xf>
    <xf numFmtId="164" fontId="6" fillId="0" borderId="13" xfId="1" applyNumberFormat="1" applyFont="1" applyFill="1" applyBorder="1" applyAlignment="1">
      <alignment horizontal="center" vertical="center"/>
    </xf>
    <xf numFmtId="165" fontId="6" fillId="0" borderId="13" xfId="1" applyNumberFormat="1" applyFont="1" applyFill="1" applyBorder="1" applyAlignment="1">
      <alignment horizontal="center" vertical="center" wrapText="1"/>
    </xf>
    <xf numFmtId="0" fontId="6" fillId="0" borderId="17" xfId="1" applyFont="1" applyFill="1" applyBorder="1" applyAlignment="1">
      <alignment vertical="center" wrapText="1"/>
    </xf>
    <xf numFmtId="164" fontId="6" fillId="0" borderId="13" xfId="1" applyNumberFormat="1" applyFont="1" applyFill="1" applyBorder="1" applyAlignment="1">
      <alignment horizontal="center" vertical="center"/>
    </xf>
    <xf numFmtId="165" fontId="6" fillId="0" borderId="13" xfId="1" applyNumberFormat="1" applyFont="1" applyFill="1" applyBorder="1" applyAlignment="1">
      <alignment horizontal="center" vertical="center" wrapText="1"/>
    </xf>
    <xf numFmtId="164" fontId="6" fillId="2" borderId="13" xfId="1" applyNumberFormat="1" applyFont="1" applyFill="1" applyBorder="1" applyAlignment="1">
      <alignment horizontal="center" vertical="center"/>
    </xf>
    <xf numFmtId="49" fontId="6" fillId="0" borderId="30" xfId="1" applyNumberFormat="1" applyFont="1" applyFill="1" applyBorder="1" applyAlignment="1">
      <alignment horizontal="left" vertical="center" wrapText="1"/>
    </xf>
    <xf numFmtId="49" fontId="6" fillId="0" borderId="31" xfId="1" applyNumberFormat="1" applyFont="1" applyFill="1" applyBorder="1" applyAlignment="1">
      <alignment horizontal="left" vertical="center" wrapText="1"/>
    </xf>
    <xf numFmtId="164" fontId="6" fillId="0" borderId="12" xfId="1" applyNumberFormat="1" applyFont="1" applyFill="1" applyBorder="1" applyAlignment="1">
      <alignment horizontal="center" vertical="center"/>
    </xf>
    <xf numFmtId="49" fontId="6" fillId="2" borderId="18" xfId="1" applyNumberFormat="1" applyFont="1" applyFill="1" applyBorder="1" applyAlignment="1">
      <alignment horizontal="left" vertical="center" wrapText="1"/>
    </xf>
    <xf numFmtId="165" fontId="6" fillId="0" borderId="12" xfId="1" applyNumberFormat="1" applyFont="1" applyFill="1" applyBorder="1" applyAlignment="1">
      <alignment horizontal="center" vertical="center" wrapText="1"/>
    </xf>
    <xf numFmtId="49" fontId="9" fillId="0" borderId="0" xfId="1" applyNumberFormat="1" applyFont="1" applyFill="1" applyBorder="1" applyAlignment="1">
      <alignment vertical="center"/>
    </xf>
    <xf numFmtId="49" fontId="6" fillId="3" borderId="11" xfId="11" applyNumberFormat="1" applyFont="1" applyFill="1" applyBorder="1" applyAlignment="1">
      <alignment horizontal="center" vertical="center" wrapText="1"/>
    </xf>
    <xf numFmtId="49" fontId="9" fillId="4" borderId="2" xfId="1" applyNumberFormat="1" applyFont="1" applyFill="1" applyBorder="1" applyAlignment="1">
      <alignment horizontal="center" vertical="center"/>
    </xf>
    <xf numFmtId="49" fontId="9" fillId="3" borderId="2" xfId="1" applyNumberFormat="1" applyFont="1" applyFill="1" applyBorder="1" applyAlignment="1">
      <alignment horizontal="center" vertical="center"/>
    </xf>
    <xf numFmtId="49" fontId="6" fillId="0" borderId="23" xfId="1" applyNumberFormat="1" applyFont="1" applyFill="1" applyBorder="1" applyAlignment="1">
      <alignment horizontal="left" vertical="center" wrapText="1"/>
    </xf>
    <xf numFmtId="49" fontId="6" fillId="0" borderId="26" xfId="1" applyNumberFormat="1" applyFont="1" applyFill="1" applyBorder="1" applyAlignment="1">
      <alignment horizontal="left" vertical="center" wrapText="1"/>
    </xf>
    <xf numFmtId="49" fontId="6" fillId="0" borderId="29" xfId="1" applyNumberFormat="1" applyFont="1" applyFill="1" applyBorder="1" applyAlignment="1">
      <alignment horizontal="left" vertical="center" wrapText="1"/>
    </xf>
    <xf numFmtId="49" fontId="6" fillId="0" borderId="16" xfId="1" applyNumberFormat="1" applyFont="1" applyFill="1" applyBorder="1" applyAlignment="1">
      <alignment horizontal="left" vertical="center" wrapText="1"/>
    </xf>
    <xf numFmtId="49" fontId="6" fillId="2" borderId="20" xfId="1" applyNumberFormat="1" applyFont="1" applyFill="1" applyBorder="1" applyAlignment="1">
      <alignment horizontal="left" vertical="center" wrapText="1"/>
    </xf>
    <xf numFmtId="0" fontId="9" fillId="0" borderId="0" xfId="1" applyFont="1" applyFill="1" applyBorder="1" applyAlignment="1">
      <alignment vertical="center"/>
    </xf>
    <xf numFmtId="15" fontId="6" fillId="2" borderId="0" xfId="1" applyNumberFormat="1" applyFont="1" applyFill="1" applyBorder="1" applyAlignment="1">
      <alignment vertical="center"/>
    </xf>
    <xf numFmtId="0" fontId="6" fillId="3" borderId="1" xfId="1" applyFont="1" applyFill="1" applyBorder="1" applyAlignment="1">
      <alignment horizontal="center" vertical="center"/>
    </xf>
    <xf numFmtId="0" fontId="6" fillId="2" borderId="17" xfId="1" applyFont="1" applyFill="1" applyBorder="1" applyAlignment="1">
      <alignment vertical="center" wrapText="1"/>
    </xf>
    <xf numFmtId="0" fontId="6" fillId="0" borderId="19" xfId="1" applyFont="1" applyFill="1" applyBorder="1" applyAlignment="1">
      <alignment vertical="center" wrapText="1"/>
    </xf>
    <xf numFmtId="0" fontId="6" fillId="0" borderId="24" xfId="1" applyFont="1" applyFill="1" applyBorder="1" applyAlignment="1">
      <alignment horizontal="left" vertical="center" wrapText="1"/>
    </xf>
    <xf numFmtId="0" fontId="6" fillId="0" borderId="27" xfId="1" applyFont="1" applyFill="1" applyBorder="1" applyAlignment="1">
      <alignment horizontal="left" vertical="center" wrapText="1"/>
    </xf>
    <xf numFmtId="0" fontId="6" fillId="0" borderId="15" xfId="1" applyFont="1" applyFill="1" applyBorder="1" applyAlignment="1">
      <alignment horizontal="left" vertical="center" wrapText="1"/>
    </xf>
    <xf numFmtId="0" fontId="6" fillId="0" borderId="19" xfId="1" applyFont="1" applyFill="1" applyBorder="1" applyAlignment="1">
      <alignment horizontal="left" vertical="center" wrapText="1"/>
    </xf>
    <xf numFmtId="0" fontId="6" fillId="0" borderId="17" xfId="4" applyFont="1" applyFill="1" applyBorder="1" applyAlignment="1">
      <alignment horizontal="left" vertical="center" wrapText="1"/>
    </xf>
    <xf numFmtId="3" fontId="9" fillId="0" borderId="0" xfId="1" applyNumberFormat="1" applyFont="1" applyFill="1" applyBorder="1" applyAlignment="1">
      <alignment horizontal="right" vertical="center"/>
    </xf>
    <xf numFmtId="164" fontId="5" fillId="0" borderId="25" xfId="1" applyNumberFormat="1" applyFont="1" applyFill="1" applyBorder="1" applyAlignment="1">
      <alignment horizontal="center" vertical="center"/>
    </xf>
    <xf numFmtId="164" fontId="6" fillId="0" borderId="25" xfId="1" applyNumberFormat="1" applyFont="1" applyFill="1" applyBorder="1" applyAlignment="1">
      <alignment horizontal="center" vertical="center"/>
    </xf>
    <xf numFmtId="164" fontId="5" fillId="0" borderId="13" xfId="1" applyNumberFormat="1" applyFont="1" applyFill="1" applyBorder="1" applyAlignment="1">
      <alignment horizontal="center" vertical="center"/>
    </xf>
    <xf numFmtId="165" fontId="5" fillId="0" borderId="25" xfId="1" applyNumberFormat="1" applyFont="1" applyFill="1" applyBorder="1" applyAlignment="1">
      <alignment horizontal="center" vertical="center" wrapText="1"/>
    </xf>
    <xf numFmtId="164" fontId="6" fillId="0" borderId="13" xfId="1" applyNumberFormat="1" applyFont="1" applyFill="1" applyBorder="1" applyAlignment="1">
      <alignment horizontal="center" vertical="center"/>
    </xf>
    <xf numFmtId="49" fontId="6" fillId="0" borderId="26" xfId="1" applyNumberFormat="1" applyFont="1" applyFill="1" applyBorder="1" applyAlignment="1">
      <alignment horizontal="left" vertical="center" wrapText="1"/>
    </xf>
    <xf numFmtId="164" fontId="5" fillId="0" borderId="25" xfId="1" applyNumberFormat="1" applyFont="1" applyFill="1" applyBorder="1" applyAlignment="1">
      <alignment horizontal="center" vertical="center" wrapText="1"/>
    </xf>
    <xf numFmtId="4" fontId="19" fillId="0" borderId="0" xfId="1" applyNumberFormat="1" applyFont="1" applyFill="1" applyBorder="1" applyAlignment="1">
      <alignment vertical="center"/>
    </xf>
    <xf numFmtId="4" fontId="20" fillId="0" borderId="0" xfId="1" applyNumberFormat="1" applyFont="1" applyFill="1" applyBorder="1" applyAlignment="1">
      <alignment vertical="center"/>
    </xf>
    <xf numFmtId="164" fontId="5" fillId="0" borderId="33" xfId="1" applyNumberFormat="1" applyFont="1" applyFill="1" applyBorder="1" applyAlignment="1">
      <alignment horizontal="center" vertical="center"/>
    </xf>
    <xf numFmtId="164" fontId="6" fillId="0" borderId="33" xfId="1" applyNumberFormat="1" applyFont="1" applyFill="1" applyBorder="1" applyAlignment="1">
      <alignment horizontal="center" vertical="center"/>
    </xf>
    <xf numFmtId="165" fontId="5" fillId="0" borderId="13" xfId="1" applyNumberFormat="1" applyFont="1" applyFill="1" applyBorder="1" applyAlignment="1">
      <alignment horizontal="center" vertical="center" wrapText="1"/>
    </xf>
    <xf numFmtId="164" fontId="5" fillId="0" borderId="13" xfId="1" applyNumberFormat="1" applyFont="1" applyFill="1" applyBorder="1" applyAlignment="1">
      <alignment horizontal="center" vertical="center"/>
    </xf>
    <xf numFmtId="164" fontId="6" fillId="0" borderId="13" xfId="1" applyNumberFormat="1" applyFont="1" applyFill="1" applyBorder="1" applyAlignment="1">
      <alignment horizontal="center" vertical="center"/>
    </xf>
    <xf numFmtId="164" fontId="5" fillId="2" borderId="13" xfId="1" applyNumberFormat="1" applyFont="1" applyFill="1" applyBorder="1" applyAlignment="1">
      <alignment horizontal="center" vertical="center"/>
    </xf>
    <xf numFmtId="164" fontId="5" fillId="0" borderId="13" xfId="1" applyNumberFormat="1" applyFont="1" applyFill="1" applyBorder="1" applyAlignment="1">
      <alignment horizontal="center" vertical="center" wrapText="1"/>
    </xf>
    <xf numFmtId="49" fontId="6" fillId="2" borderId="18" xfId="1" applyNumberFormat="1" applyFont="1" applyFill="1" applyBorder="1" applyAlignment="1">
      <alignment horizontal="left" vertical="center" wrapText="1"/>
    </xf>
    <xf numFmtId="0" fontId="6" fillId="0" borderId="17" xfId="1" applyFont="1" applyFill="1" applyBorder="1" applyAlignment="1">
      <alignment horizontal="left" vertical="center" wrapText="1"/>
    </xf>
    <xf numFmtId="165" fontId="5" fillId="0" borderId="33" xfId="1" applyNumberFormat="1" applyFont="1" applyFill="1" applyBorder="1" applyAlignment="1">
      <alignment horizontal="center" vertical="center" wrapText="1"/>
    </xf>
    <xf numFmtId="164" fontId="5" fillId="0" borderId="13" xfId="1" applyNumberFormat="1" applyFont="1" applyFill="1" applyBorder="1" applyAlignment="1">
      <alignment horizontal="center" vertical="center"/>
    </xf>
    <xf numFmtId="164" fontId="6" fillId="0" borderId="13" xfId="1" applyNumberFormat="1" applyFont="1" applyFill="1" applyBorder="1" applyAlignment="1">
      <alignment horizontal="center" vertical="center"/>
    </xf>
    <xf numFmtId="0" fontId="6" fillId="0" borderId="38" xfId="1" applyFont="1" applyFill="1" applyBorder="1" applyAlignment="1">
      <alignment horizontal="left" vertical="center" wrapText="1"/>
    </xf>
    <xf numFmtId="165" fontId="5" fillId="0" borderId="39" xfId="1" applyNumberFormat="1" applyFont="1" applyFill="1" applyBorder="1" applyAlignment="1">
      <alignment horizontal="center" vertical="center" wrapText="1"/>
    </xf>
    <xf numFmtId="164" fontId="5" fillId="0" borderId="39" xfId="1" applyNumberFormat="1" applyFont="1" applyFill="1" applyBorder="1" applyAlignment="1">
      <alignment horizontal="center" vertical="center"/>
    </xf>
    <xf numFmtId="164" fontId="6" fillId="0" borderId="39" xfId="1" applyNumberFormat="1" applyFont="1" applyFill="1" applyBorder="1" applyAlignment="1">
      <alignment horizontal="center" vertical="center"/>
    </xf>
    <xf numFmtId="164" fontId="5" fillId="2" borderId="39" xfId="1" applyNumberFormat="1" applyFont="1" applyFill="1" applyBorder="1" applyAlignment="1">
      <alignment horizontal="center" vertical="center"/>
    </xf>
    <xf numFmtId="164" fontId="5" fillId="0" borderId="39" xfId="1" applyNumberFormat="1" applyFont="1" applyFill="1" applyBorder="1" applyAlignment="1">
      <alignment horizontal="center" vertical="center" wrapText="1"/>
    </xf>
    <xf numFmtId="49" fontId="6" fillId="0" borderId="40" xfId="1" applyNumberFormat="1" applyFont="1" applyFill="1" applyBorder="1" applyAlignment="1">
      <alignment horizontal="left" vertical="center" wrapText="1"/>
    </xf>
    <xf numFmtId="0" fontId="6" fillId="0" borderId="36" xfId="4" applyFont="1" applyFill="1" applyBorder="1" applyAlignment="1">
      <alignment horizontal="left" vertical="center" wrapText="1"/>
    </xf>
    <xf numFmtId="43" fontId="5" fillId="0" borderId="33" xfId="15" applyFont="1" applyFill="1" applyBorder="1" applyAlignment="1">
      <alignment horizontal="center" vertical="center"/>
    </xf>
    <xf numFmtId="164" fontId="5" fillId="0" borderId="33" xfId="1" applyNumberFormat="1" applyFont="1" applyFill="1" applyBorder="1" applyAlignment="1">
      <alignment horizontal="center" vertical="center" wrapText="1"/>
    </xf>
    <xf numFmtId="49" fontId="6" fillId="0" borderId="30" xfId="1" applyNumberFormat="1" applyFont="1" applyFill="1" applyBorder="1" applyAlignment="1">
      <alignment vertical="center"/>
    </xf>
    <xf numFmtId="0" fontId="5" fillId="0" borderId="24" xfId="1" applyFont="1" applyFill="1" applyBorder="1" applyAlignment="1">
      <alignment horizontal="left" vertical="center" wrapText="1"/>
    </xf>
    <xf numFmtId="49" fontId="6" fillId="0" borderId="18" xfId="1" applyNumberFormat="1" applyFont="1" applyFill="1" applyBorder="1" applyAlignment="1">
      <alignment vertical="center" wrapText="1"/>
    </xf>
    <xf numFmtId="49" fontId="6" fillId="0" borderId="31" xfId="1" applyNumberFormat="1" applyFont="1" applyFill="1" applyBorder="1" applyAlignment="1">
      <alignment horizontal="left" vertical="center" wrapText="1"/>
    </xf>
    <xf numFmtId="165" fontId="5" fillId="0" borderId="13" xfId="1" applyNumberFormat="1" applyFont="1" applyFill="1" applyBorder="1" applyAlignment="1">
      <alignment horizontal="center" vertical="center" wrapText="1"/>
    </xf>
    <xf numFmtId="164" fontId="5" fillId="0" borderId="13" xfId="1" applyNumberFormat="1" applyFont="1" applyFill="1" applyBorder="1" applyAlignment="1">
      <alignment horizontal="center" vertical="center"/>
    </xf>
    <xf numFmtId="164" fontId="6" fillId="0" borderId="13" xfId="1" applyNumberFormat="1" applyFont="1" applyFill="1" applyBorder="1" applyAlignment="1">
      <alignment horizontal="center" vertical="center"/>
    </xf>
    <xf numFmtId="164" fontId="5" fillId="2" borderId="13" xfId="1" applyNumberFormat="1" applyFont="1" applyFill="1" applyBorder="1" applyAlignment="1">
      <alignment horizontal="center" vertical="center"/>
    </xf>
    <xf numFmtId="164" fontId="5" fillId="0" borderId="13" xfId="1" applyNumberFormat="1" applyFont="1" applyFill="1" applyBorder="1" applyAlignment="1">
      <alignment horizontal="center" vertical="center" wrapText="1"/>
    </xf>
    <xf numFmtId="49" fontId="6" fillId="2" borderId="16" xfId="1" applyNumberFormat="1" applyFont="1" applyFill="1" applyBorder="1" applyAlignment="1">
      <alignment horizontal="left" vertical="center" wrapText="1"/>
    </xf>
    <xf numFmtId="49" fontId="6" fillId="2" borderId="18" xfId="1" applyNumberFormat="1" applyFont="1" applyFill="1" applyBorder="1" applyAlignment="1">
      <alignment horizontal="left" vertical="center" wrapText="1"/>
    </xf>
    <xf numFmtId="0" fontId="6" fillId="0" borderId="17" xfId="1" applyFont="1" applyFill="1" applyBorder="1" applyAlignment="1">
      <alignment horizontal="left" vertical="center" wrapText="1"/>
    </xf>
    <xf numFmtId="167" fontId="6" fillId="0" borderId="0" xfId="1" applyNumberFormat="1" applyFont="1" applyFill="1" applyBorder="1" applyAlignment="1">
      <alignment vertical="center"/>
    </xf>
    <xf numFmtId="165" fontId="5" fillId="0" borderId="25" xfId="1" applyNumberFormat="1" applyFont="1" applyFill="1" applyBorder="1" applyAlignment="1">
      <alignment horizontal="center" vertical="center" wrapText="1"/>
    </xf>
    <xf numFmtId="164" fontId="5" fillId="0" borderId="25" xfId="1" applyNumberFormat="1" applyFont="1" applyFill="1" applyBorder="1" applyAlignment="1">
      <alignment horizontal="center" vertical="center"/>
    </xf>
    <xf numFmtId="164" fontId="5" fillId="0" borderId="25" xfId="1" applyNumberFormat="1" applyFont="1" applyFill="1" applyBorder="1" applyAlignment="1">
      <alignment horizontal="center" vertical="center" wrapText="1"/>
    </xf>
    <xf numFmtId="164" fontId="5" fillId="0" borderId="25" xfId="1" applyNumberFormat="1" applyFont="1" applyFill="1" applyBorder="1" applyAlignment="1">
      <alignment horizontal="center" vertical="center"/>
    </xf>
    <xf numFmtId="49" fontId="5" fillId="0" borderId="26" xfId="1" applyNumberFormat="1" applyFont="1" applyFill="1" applyBorder="1" applyAlignment="1">
      <alignment horizontal="left" vertical="center" wrapText="1"/>
    </xf>
    <xf numFmtId="164" fontId="5" fillId="0" borderId="13" xfId="1" applyNumberFormat="1" applyFont="1" applyFill="1" applyBorder="1" applyAlignment="1">
      <alignment horizontal="center" vertical="center"/>
    </xf>
    <xf numFmtId="164" fontId="6" fillId="0" borderId="13" xfId="1" applyNumberFormat="1" applyFont="1" applyFill="1" applyBorder="1" applyAlignment="1">
      <alignment horizontal="center" vertical="center"/>
    </xf>
    <xf numFmtId="164" fontId="6" fillId="0" borderId="12" xfId="1" applyNumberFormat="1" applyFont="1" applyFill="1" applyBorder="1" applyAlignment="1">
      <alignment horizontal="center" vertical="center"/>
    </xf>
    <xf numFmtId="164" fontId="6" fillId="0" borderId="25" xfId="1" applyNumberFormat="1" applyFont="1" applyFill="1" applyBorder="1" applyAlignment="1">
      <alignment horizontal="center" vertical="center"/>
    </xf>
    <xf numFmtId="49" fontId="6" fillId="0" borderId="26" xfId="1" applyNumberFormat="1" applyFont="1" applyFill="1" applyBorder="1" applyAlignment="1">
      <alignment horizontal="left" vertical="center" wrapText="1"/>
    </xf>
    <xf numFmtId="49" fontId="6" fillId="0" borderId="18" xfId="1" applyNumberFormat="1" applyFont="1" applyFill="1" applyBorder="1" applyAlignment="1">
      <alignment horizontal="left" vertical="center" wrapText="1"/>
    </xf>
    <xf numFmtId="165" fontId="6" fillId="0" borderId="25" xfId="1" applyNumberFormat="1" applyFont="1" applyFill="1" applyBorder="1" applyAlignment="1">
      <alignment horizontal="center" vertical="center" wrapText="1"/>
    </xf>
    <xf numFmtId="165" fontId="6" fillId="2" borderId="25" xfId="1" applyNumberFormat="1" applyFont="1" applyFill="1" applyBorder="1" applyAlignment="1">
      <alignment horizontal="center" vertical="center" wrapText="1"/>
    </xf>
    <xf numFmtId="164" fontId="6" fillId="2" borderId="25" xfId="1" applyNumberFormat="1" applyFont="1" applyFill="1" applyBorder="1" applyAlignment="1">
      <alignment horizontal="center" vertical="center"/>
    </xf>
    <xf numFmtId="164" fontId="6" fillId="0" borderId="25" xfId="1" applyNumberFormat="1" applyFont="1" applyFill="1" applyBorder="1" applyAlignment="1">
      <alignment horizontal="center" vertical="center" wrapText="1"/>
    </xf>
    <xf numFmtId="164" fontId="5" fillId="0" borderId="13" xfId="1" applyNumberFormat="1" applyFont="1" applyFill="1" applyBorder="1" applyAlignment="1">
      <alignment horizontal="center" vertical="center"/>
    </xf>
    <xf numFmtId="49" fontId="5" fillId="0" borderId="30" xfId="1" applyNumberFormat="1" applyFont="1" applyFill="1" applyBorder="1" applyAlignment="1">
      <alignment horizontal="left" vertical="center" wrapText="1"/>
    </xf>
    <xf numFmtId="165" fontId="5" fillId="2" borderId="25" xfId="1" applyNumberFormat="1" applyFont="1" applyFill="1" applyBorder="1" applyAlignment="1">
      <alignment horizontal="center" vertical="center" wrapText="1"/>
    </xf>
    <xf numFmtId="165" fontId="6" fillId="2" borderId="12" xfId="1" applyNumberFormat="1" applyFont="1" applyFill="1" applyBorder="1" applyAlignment="1">
      <alignment horizontal="center" vertical="center"/>
    </xf>
    <xf numFmtId="165" fontId="6" fillId="2" borderId="12" xfId="1" applyNumberFormat="1" applyFont="1" applyFill="1" applyBorder="1" applyAlignment="1">
      <alignment horizontal="center" vertical="center" wrapText="1"/>
    </xf>
    <xf numFmtId="49" fontId="5" fillId="0" borderId="18" xfId="1" applyNumberFormat="1" applyFont="1" applyFill="1" applyBorder="1" applyAlignment="1">
      <alignment horizontal="left" vertical="center" wrapText="1"/>
    </xf>
    <xf numFmtId="49" fontId="6" fillId="0" borderId="30" xfId="1" applyNumberFormat="1" applyFont="1" applyFill="1" applyBorder="1" applyAlignment="1">
      <alignment horizontal="left" vertical="center" wrapText="1"/>
    </xf>
    <xf numFmtId="165" fontId="5" fillId="0" borderId="13" xfId="1" applyNumberFormat="1" applyFont="1" applyFill="1" applyBorder="1" applyAlignment="1">
      <alignment horizontal="center" vertical="center" wrapText="1"/>
    </xf>
    <xf numFmtId="164" fontId="5" fillId="0" borderId="13" xfId="1" applyNumberFormat="1" applyFont="1" applyFill="1" applyBorder="1" applyAlignment="1">
      <alignment horizontal="center" vertical="center"/>
    </xf>
    <xf numFmtId="49" fontId="5" fillId="0" borderId="30" xfId="1" applyNumberFormat="1" applyFont="1" applyFill="1" applyBorder="1" applyAlignment="1">
      <alignment horizontal="left" vertical="center" wrapText="1"/>
    </xf>
    <xf numFmtId="164" fontId="5" fillId="0" borderId="25" xfId="1" applyNumberFormat="1" applyFont="1" applyFill="1" applyBorder="1" applyAlignment="1">
      <alignment horizontal="center" vertical="center"/>
    </xf>
    <xf numFmtId="165" fontId="5" fillId="0" borderId="13" xfId="1" applyNumberFormat="1" applyFont="1" applyFill="1" applyBorder="1" applyAlignment="1">
      <alignment horizontal="center" vertical="center" wrapText="1"/>
    </xf>
    <xf numFmtId="164" fontId="5" fillId="0" borderId="13" xfId="1" applyNumberFormat="1" applyFont="1" applyFill="1" applyBorder="1" applyAlignment="1">
      <alignment horizontal="center" vertical="center"/>
    </xf>
    <xf numFmtId="164" fontId="6" fillId="0" borderId="13" xfId="1" applyNumberFormat="1" applyFont="1" applyFill="1" applyBorder="1" applyAlignment="1">
      <alignment horizontal="center" vertical="center"/>
    </xf>
    <xf numFmtId="49" fontId="6" fillId="0" borderId="18" xfId="1" applyNumberFormat="1" applyFont="1" applyFill="1" applyBorder="1" applyAlignment="1">
      <alignment horizontal="left" vertical="center" wrapText="1"/>
    </xf>
    <xf numFmtId="164" fontId="5" fillId="0" borderId="13" xfId="1" applyNumberFormat="1" applyFont="1" applyFill="1" applyBorder="1" applyAlignment="1">
      <alignment horizontal="center" vertical="center" wrapText="1"/>
    </xf>
    <xf numFmtId="0" fontId="6" fillId="0" borderId="17" xfId="1" applyFont="1" applyFill="1" applyBorder="1" applyAlignment="1">
      <alignment horizontal="left" vertical="center" wrapText="1"/>
    </xf>
    <xf numFmtId="0" fontId="6" fillId="0" borderId="21" xfId="1" applyFont="1" applyFill="1" applyBorder="1" applyAlignment="1">
      <alignment horizontal="left" vertical="center" wrapText="1"/>
    </xf>
    <xf numFmtId="0" fontId="6" fillId="0" borderId="24" xfId="4" applyFont="1" applyFill="1" applyBorder="1" applyAlignment="1">
      <alignment horizontal="left" vertical="center" wrapText="1"/>
    </xf>
    <xf numFmtId="165" fontId="5" fillId="0" borderId="25" xfId="1" applyNumberFormat="1" applyFont="1" applyFill="1" applyBorder="1" applyAlignment="1">
      <alignment horizontal="center" vertical="center" wrapText="1"/>
    </xf>
    <xf numFmtId="0" fontId="6" fillId="0" borderId="0" xfId="1" applyFont="1" applyFill="1" applyBorder="1" applyAlignment="1">
      <alignment horizontal="left" vertical="center" wrapText="1"/>
    </xf>
    <xf numFmtId="0" fontId="6" fillId="0" borderId="17" xfId="1" applyFont="1" applyFill="1" applyBorder="1" applyAlignment="1">
      <alignment horizontal="left" vertical="center" wrapText="1"/>
    </xf>
    <xf numFmtId="164" fontId="5" fillId="0" borderId="25" xfId="1" applyNumberFormat="1" applyFont="1" applyFill="1" applyBorder="1" applyAlignment="1">
      <alignment horizontal="center" vertical="center"/>
    </xf>
    <xf numFmtId="164" fontId="6" fillId="0" borderId="25" xfId="1" applyNumberFormat="1" applyFont="1" applyFill="1" applyBorder="1" applyAlignment="1">
      <alignment horizontal="center" vertical="center"/>
    </xf>
    <xf numFmtId="0" fontId="13" fillId="3" borderId="1" xfId="1" applyFont="1" applyFill="1" applyBorder="1" applyAlignment="1">
      <alignment horizontal="left" vertical="center"/>
    </xf>
    <xf numFmtId="0" fontId="13" fillId="3" borderId="3" xfId="1" applyFont="1" applyFill="1" applyBorder="1" applyAlignment="1">
      <alignment horizontal="left" vertical="center"/>
    </xf>
    <xf numFmtId="0" fontId="13" fillId="3" borderId="2" xfId="1" applyFont="1" applyFill="1" applyBorder="1" applyAlignment="1">
      <alignment horizontal="left" vertical="center"/>
    </xf>
    <xf numFmtId="165" fontId="5" fillId="0" borderId="13" xfId="1" applyNumberFormat="1" applyFont="1" applyFill="1" applyBorder="1" applyAlignment="1">
      <alignment horizontal="center" vertical="center" wrapText="1"/>
    </xf>
    <xf numFmtId="165" fontId="5" fillId="2" borderId="13" xfId="1" applyNumberFormat="1" applyFont="1" applyFill="1" applyBorder="1" applyAlignment="1">
      <alignment horizontal="center" vertical="center" wrapText="1"/>
    </xf>
    <xf numFmtId="164" fontId="5" fillId="2" borderId="13" xfId="1" applyNumberFormat="1" applyFont="1" applyFill="1" applyBorder="1" applyAlignment="1">
      <alignment horizontal="center" vertical="center"/>
    </xf>
    <xf numFmtId="164" fontId="5" fillId="0" borderId="13" xfId="1" applyNumberFormat="1" applyFont="1" applyFill="1" applyBorder="1" applyAlignment="1">
      <alignment horizontal="center" vertical="center"/>
    </xf>
    <xf numFmtId="0" fontId="1" fillId="0" borderId="13" xfId="0" applyFont="1" applyBorder="1" applyAlignment="1">
      <alignment horizontal="center" vertical="center"/>
    </xf>
    <xf numFmtId="49" fontId="5" fillId="0" borderId="30" xfId="1" applyNumberFormat="1" applyFont="1" applyFill="1" applyBorder="1" applyAlignment="1">
      <alignment horizontal="left" vertical="center" wrapText="1"/>
    </xf>
    <xf numFmtId="49" fontId="5" fillId="0" borderId="31" xfId="1" applyNumberFormat="1" applyFont="1" applyFill="1" applyBorder="1" applyAlignment="1">
      <alignment horizontal="left" vertical="center" wrapText="1"/>
    </xf>
    <xf numFmtId="0" fontId="6" fillId="0" borderId="15" xfId="1" applyFont="1" applyFill="1" applyBorder="1" applyAlignment="1">
      <alignment horizontal="left" vertical="center" wrapText="1"/>
    </xf>
    <xf numFmtId="165" fontId="5" fillId="0" borderId="33" xfId="1" applyNumberFormat="1" applyFont="1" applyFill="1" applyBorder="1" applyAlignment="1">
      <alignment horizontal="center" vertical="center" wrapText="1"/>
    </xf>
    <xf numFmtId="165" fontId="5" fillId="0" borderId="34" xfId="1" applyNumberFormat="1" applyFont="1" applyFill="1" applyBorder="1" applyAlignment="1">
      <alignment horizontal="center" vertical="center" wrapText="1"/>
    </xf>
    <xf numFmtId="165" fontId="5" fillId="0" borderId="35" xfId="1" applyNumberFormat="1" applyFont="1" applyFill="1" applyBorder="1" applyAlignment="1">
      <alignment horizontal="center" vertical="center" wrapText="1"/>
    </xf>
    <xf numFmtId="164" fontId="5" fillId="0" borderId="41" xfId="1" quotePrefix="1" applyNumberFormat="1" applyFont="1" applyFill="1" applyBorder="1" applyAlignment="1">
      <alignment horizontal="center" vertical="center"/>
    </xf>
    <xf numFmtId="164" fontId="5" fillId="0" borderId="42" xfId="1" quotePrefix="1" applyNumberFormat="1" applyFont="1" applyFill="1" applyBorder="1" applyAlignment="1">
      <alignment horizontal="center" vertical="center"/>
    </xf>
    <xf numFmtId="164" fontId="5" fillId="0" borderId="12" xfId="1" applyNumberFormat="1" applyFont="1" applyFill="1" applyBorder="1" applyAlignment="1">
      <alignment horizontal="center" vertical="center"/>
    </xf>
    <xf numFmtId="164" fontId="5" fillId="0" borderId="33" xfId="1" applyNumberFormat="1" applyFont="1" applyFill="1" applyBorder="1" applyAlignment="1">
      <alignment horizontal="center" vertical="center"/>
    </xf>
    <xf numFmtId="164" fontId="5" fillId="0" borderId="34" xfId="1" applyNumberFormat="1" applyFont="1" applyFill="1" applyBorder="1" applyAlignment="1">
      <alignment horizontal="center" vertical="center"/>
    </xf>
    <xf numFmtId="164" fontId="5" fillId="0" borderId="35" xfId="1" applyNumberFormat="1" applyFont="1" applyFill="1" applyBorder="1" applyAlignment="1">
      <alignment horizontal="center" vertical="center"/>
    </xf>
    <xf numFmtId="165" fontId="5" fillId="0" borderId="25" xfId="1" applyNumberFormat="1" applyFont="1" applyFill="1" applyBorder="1" applyAlignment="1">
      <alignment horizontal="center" vertical="center" wrapText="1"/>
    </xf>
    <xf numFmtId="0" fontId="6" fillId="0" borderId="24" xfId="4" applyFont="1" applyFill="1" applyBorder="1" applyAlignment="1">
      <alignment horizontal="left" vertical="center" wrapText="1"/>
    </xf>
    <xf numFmtId="164" fontId="6" fillId="0" borderId="12" xfId="1" applyNumberFormat="1" applyFont="1" applyFill="1" applyBorder="1" applyAlignment="1">
      <alignment horizontal="center" vertical="center"/>
    </xf>
    <xf numFmtId="164" fontId="6" fillId="0" borderId="13" xfId="1" applyNumberFormat="1" applyFont="1" applyFill="1" applyBorder="1" applyAlignment="1">
      <alignment horizontal="center" vertical="center"/>
    </xf>
    <xf numFmtId="49" fontId="6" fillId="0" borderId="26" xfId="1" applyNumberFormat="1" applyFont="1" applyFill="1" applyBorder="1" applyAlignment="1">
      <alignment horizontal="left" vertical="center" wrapText="1"/>
    </xf>
    <xf numFmtId="49" fontId="5" fillId="2" borderId="16" xfId="1" applyNumberFormat="1" applyFont="1" applyFill="1" applyBorder="1" applyAlignment="1">
      <alignment horizontal="left" vertical="center" wrapText="1"/>
    </xf>
    <xf numFmtId="49" fontId="5" fillId="2" borderId="18" xfId="1" applyNumberFormat="1" applyFont="1" applyFill="1" applyBorder="1" applyAlignment="1">
      <alignment horizontal="left" vertical="center" wrapText="1"/>
    </xf>
    <xf numFmtId="49" fontId="6" fillId="0" borderId="18" xfId="1" applyNumberFormat="1" applyFont="1" applyFill="1" applyBorder="1" applyAlignment="1">
      <alignment horizontal="left" vertical="center" wrapText="1"/>
    </xf>
    <xf numFmtId="164" fontId="5" fillId="0" borderId="25" xfId="1" applyNumberFormat="1" applyFont="1" applyFill="1" applyBorder="1" applyAlignment="1">
      <alignment horizontal="center" vertical="center" wrapText="1"/>
    </xf>
    <xf numFmtId="164" fontId="5" fillId="0" borderId="41" xfId="1" applyNumberFormat="1" applyFont="1" applyFill="1" applyBorder="1" applyAlignment="1">
      <alignment horizontal="center" vertical="center"/>
    </xf>
    <xf numFmtId="164" fontId="5" fillId="0" borderId="42" xfId="1" applyNumberFormat="1" applyFont="1" applyFill="1" applyBorder="1" applyAlignment="1">
      <alignment horizontal="center" vertical="center"/>
    </xf>
    <xf numFmtId="0" fontId="6" fillId="2" borderId="17" xfId="1" applyFont="1" applyFill="1" applyBorder="1" applyAlignment="1">
      <alignment vertical="center" wrapText="1"/>
    </xf>
    <xf numFmtId="0" fontId="6" fillId="0" borderId="24" xfId="1" applyFont="1" applyFill="1" applyBorder="1" applyAlignment="1">
      <alignment horizontal="left" vertical="center" wrapText="1"/>
    </xf>
    <xf numFmtId="49" fontId="6" fillId="0" borderId="31" xfId="1" applyNumberFormat="1" applyFont="1" applyFill="1" applyBorder="1" applyAlignment="1">
      <alignment horizontal="left" vertical="center" wrapText="1"/>
    </xf>
    <xf numFmtId="49" fontId="6" fillId="0" borderId="30" xfId="1" applyNumberFormat="1" applyFont="1" applyFill="1" applyBorder="1" applyAlignment="1">
      <alignment horizontal="left" vertical="center" wrapText="1"/>
    </xf>
    <xf numFmtId="164" fontId="5" fillId="0" borderId="13" xfId="1" applyNumberFormat="1" applyFont="1" applyFill="1" applyBorder="1" applyAlignment="1">
      <alignment horizontal="center" vertical="center" wrapText="1"/>
    </xf>
    <xf numFmtId="164" fontId="5" fillId="0" borderId="12" xfId="1" applyNumberFormat="1" applyFont="1" applyFill="1" applyBorder="1" applyAlignment="1">
      <alignment horizontal="center" vertical="center" wrapText="1"/>
    </xf>
    <xf numFmtId="0" fontId="6" fillId="2" borderId="15" xfId="1" applyFont="1" applyFill="1" applyBorder="1" applyAlignment="1">
      <alignment vertical="center" wrapText="1"/>
    </xf>
    <xf numFmtId="165" fontId="6" fillId="0" borderId="13" xfId="1" applyNumberFormat="1" applyFont="1" applyFill="1" applyBorder="1" applyAlignment="1">
      <alignment horizontal="center" vertical="center" wrapText="1"/>
    </xf>
    <xf numFmtId="165" fontId="6" fillId="0" borderId="12" xfId="1" applyNumberFormat="1" applyFont="1" applyFill="1" applyBorder="1" applyAlignment="1">
      <alignment horizontal="center" vertical="center" wrapText="1"/>
    </xf>
    <xf numFmtId="164" fontId="5" fillId="2" borderId="12" xfId="1" applyNumberFormat="1" applyFont="1" applyFill="1" applyBorder="1" applyAlignment="1">
      <alignment horizontal="center" vertical="center"/>
    </xf>
    <xf numFmtId="0" fontId="13" fillId="4" borderId="9" xfId="1" applyNumberFormat="1" applyFont="1" applyFill="1" applyBorder="1" applyAlignment="1">
      <alignment horizontal="center" vertical="center" wrapText="1"/>
    </xf>
    <xf numFmtId="0" fontId="13" fillId="4" borderId="6" xfId="1" applyNumberFormat="1" applyFont="1" applyFill="1" applyBorder="1" applyAlignment="1">
      <alignment horizontal="center" vertical="center" wrapText="1"/>
    </xf>
    <xf numFmtId="0" fontId="6" fillId="0" borderId="36" xfId="1" applyFont="1" applyFill="1" applyBorder="1" applyAlignment="1">
      <alignment horizontal="left" vertical="center" wrapText="1"/>
    </xf>
    <xf numFmtId="0" fontId="6" fillId="0" borderId="37" xfId="1" applyFont="1" applyFill="1" applyBorder="1" applyAlignment="1">
      <alignment horizontal="left" vertical="center" wrapText="1"/>
    </xf>
    <xf numFmtId="165" fontId="6" fillId="0" borderId="33" xfId="1" applyNumberFormat="1" applyFont="1" applyFill="1" applyBorder="1" applyAlignment="1">
      <alignment horizontal="center" vertical="center" wrapText="1"/>
    </xf>
    <xf numFmtId="165" fontId="6" fillId="0" borderId="35" xfId="1" applyNumberFormat="1" applyFont="1" applyFill="1" applyBorder="1" applyAlignment="1">
      <alignment horizontal="center" vertical="center" wrapText="1"/>
    </xf>
    <xf numFmtId="164" fontId="6" fillId="0" borderId="33" xfId="1" applyNumberFormat="1" applyFont="1" applyFill="1" applyBorder="1" applyAlignment="1">
      <alignment horizontal="center" vertical="center"/>
    </xf>
    <xf numFmtId="164" fontId="6" fillId="0" borderId="35" xfId="1" applyNumberFormat="1" applyFont="1" applyFill="1" applyBorder="1" applyAlignment="1">
      <alignment horizontal="center" vertical="center"/>
    </xf>
    <xf numFmtId="0" fontId="13" fillId="4" borderId="1" xfId="1" applyFont="1" applyFill="1" applyBorder="1" applyAlignment="1">
      <alignment horizontal="left" vertical="center"/>
    </xf>
    <xf numFmtId="0" fontId="13" fillId="4" borderId="3" xfId="1" applyFont="1" applyFill="1" applyBorder="1" applyAlignment="1">
      <alignment horizontal="left" vertical="center"/>
    </xf>
    <xf numFmtId="0" fontId="13" fillId="4" borderId="2" xfId="1" applyFont="1" applyFill="1" applyBorder="1" applyAlignment="1">
      <alignment horizontal="left" vertical="center"/>
    </xf>
    <xf numFmtId="0" fontId="9" fillId="4" borderId="5" xfId="1" applyFont="1" applyFill="1" applyBorder="1" applyAlignment="1">
      <alignment horizontal="center" vertical="center"/>
    </xf>
    <xf numFmtId="0" fontId="9" fillId="4" borderId="8" xfId="1" applyFont="1" applyFill="1" applyBorder="1" applyAlignment="1">
      <alignment horizontal="center" vertical="center"/>
    </xf>
    <xf numFmtId="0" fontId="13" fillId="4" borderId="6" xfId="1" applyNumberFormat="1" applyFont="1" applyFill="1" applyBorder="1" applyAlignment="1">
      <alignment horizontal="center" vertical="center" textRotation="90" wrapText="1"/>
    </xf>
    <xf numFmtId="0" fontId="13" fillId="4" borderId="9" xfId="1" applyNumberFormat="1" applyFont="1" applyFill="1" applyBorder="1" applyAlignment="1">
      <alignment horizontal="center" vertical="center" textRotation="90" wrapText="1"/>
    </xf>
    <xf numFmtId="0" fontId="9" fillId="4" borderId="6" xfId="1" applyNumberFormat="1" applyFont="1" applyFill="1" applyBorder="1" applyAlignment="1">
      <alignment horizontal="center" vertical="center" wrapText="1"/>
    </xf>
    <xf numFmtId="0" fontId="9" fillId="4" borderId="9" xfId="1" applyNumberFormat="1" applyFont="1" applyFill="1" applyBorder="1" applyAlignment="1">
      <alignment horizontal="center" vertical="center" wrapText="1"/>
    </xf>
    <xf numFmtId="165" fontId="5" fillId="0" borderId="12" xfId="1" applyNumberFormat="1" applyFont="1" applyFill="1" applyBorder="1" applyAlignment="1">
      <alignment horizontal="center" vertical="center" wrapText="1"/>
    </xf>
    <xf numFmtId="0" fontId="13" fillId="4" borderId="6" xfId="11" applyNumberFormat="1" applyFont="1" applyFill="1" applyBorder="1" applyAlignment="1">
      <alignment horizontal="center" vertical="center" wrapText="1"/>
    </xf>
    <xf numFmtId="0" fontId="13" fillId="4" borderId="9" xfId="11" applyNumberFormat="1" applyFont="1" applyFill="1" applyBorder="1" applyAlignment="1">
      <alignment horizontal="center" vertical="center" wrapText="1"/>
    </xf>
    <xf numFmtId="49" fontId="9" fillId="4" borderId="7" xfId="11" applyNumberFormat="1" applyFont="1" applyFill="1" applyBorder="1" applyAlignment="1">
      <alignment horizontal="center" vertical="center" wrapText="1"/>
    </xf>
    <xf numFmtId="49" fontId="9" fillId="4" borderId="10" xfId="11" applyNumberFormat="1" applyFont="1" applyFill="1" applyBorder="1" applyAlignment="1">
      <alignment horizontal="center" vertical="center" wrapText="1"/>
    </xf>
    <xf numFmtId="0" fontId="6" fillId="2" borderId="36" xfId="1" applyFont="1" applyFill="1" applyBorder="1" applyAlignment="1">
      <alignment horizontal="left" vertical="center" wrapText="1"/>
    </xf>
    <xf numFmtId="0" fontId="6" fillId="2" borderId="37" xfId="1" applyFont="1" applyFill="1" applyBorder="1" applyAlignment="1">
      <alignment horizontal="left" vertical="center" wrapText="1"/>
    </xf>
    <xf numFmtId="49" fontId="5" fillId="0" borderId="32" xfId="1" applyNumberFormat="1" applyFont="1" applyFill="1" applyBorder="1" applyAlignment="1">
      <alignment horizontal="left" vertical="center" wrapText="1"/>
    </xf>
  </cellXfs>
  <cellStyles count="16">
    <cellStyle name="Comma" xfId="15" builtinId="3"/>
    <cellStyle name="Comma 2" xfId="5"/>
    <cellStyle name="Comma 2 2" xfId="2"/>
    <cellStyle name="Comma 2 2 2" xfId="12"/>
    <cellStyle name="Comma 2 3" xfId="6"/>
    <cellStyle name="Comma 3" xfId="7"/>
    <cellStyle name="Normal" xfId="0" builtinId="0"/>
    <cellStyle name="Normal 2" xfId="8"/>
    <cellStyle name="Normal 2 2" xfId="4"/>
    <cellStyle name="Normal 2 3" xfId="14"/>
    <cellStyle name="Normal 3" xfId="9"/>
    <cellStyle name="Normal 4" xfId="10"/>
    <cellStyle name="Normal 5" xfId="1"/>
    <cellStyle name="Percent" xfId="11" builtinId="5"/>
    <cellStyle name="Percent 2" xfId="3"/>
    <cellStyle name="Percent 2 2" xfId="13"/>
  </cellStyles>
  <dxfs count="0"/>
  <tableStyles count="0" defaultTableStyle="TableStyleMedium9" defaultPivotStyle="PivotStyleLight16"/>
  <colors>
    <mruColors>
      <color rgb="FF2C69B2"/>
      <color rgb="FFCCFF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Angles">
  <a:themeElements>
    <a:clrScheme name="Angles">
      <a:dk1>
        <a:srgbClr val="000000"/>
      </a:dk1>
      <a:lt1>
        <a:srgbClr val="FFFFFF"/>
      </a:lt1>
      <a:dk2>
        <a:srgbClr val="434342"/>
      </a:dk2>
      <a:lt2>
        <a:srgbClr val="CDD7D9"/>
      </a:lt2>
      <a:accent1>
        <a:srgbClr val="797B7E"/>
      </a:accent1>
      <a:accent2>
        <a:srgbClr val="F96A1B"/>
      </a:accent2>
      <a:accent3>
        <a:srgbClr val="08A1D9"/>
      </a:accent3>
      <a:accent4>
        <a:srgbClr val="7C984A"/>
      </a:accent4>
      <a:accent5>
        <a:srgbClr val="C2AD8D"/>
      </a:accent5>
      <a:accent6>
        <a:srgbClr val="506E94"/>
      </a:accent6>
      <a:hlink>
        <a:srgbClr val="5F5F5F"/>
      </a:hlink>
      <a:folHlink>
        <a:srgbClr val="969696"/>
      </a:folHlink>
    </a:clrScheme>
    <a:fontScheme name="Angles">
      <a:majorFont>
        <a:latin typeface="Franklin Gothic Medium"/>
        <a:ea typeface=""/>
        <a:cs typeface=""/>
        <a:font script="Jpan" typeface="HG創英角ｺﾞｼｯｸUB"/>
        <a:font script="Hang" typeface="돋움"/>
        <a:font script="Hans" typeface="微软雅黑"/>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Franklin Gothic Book"/>
        <a:ea typeface=""/>
        <a:cs typeface=""/>
        <a:font script="Jpan" typeface="ＭＳ Ｐゴシック"/>
        <a:font script="Hang" typeface="맑은 고딕"/>
        <a:font script="Hans" typeface="隶书"/>
        <a:font script="Hant" typeface="新細明體"/>
        <a:font script="Arab" typeface="Arial"/>
        <a:font script="Hebr" typeface="Arial"/>
        <a:font script="Thai" typeface="Cordi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le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20400000"/>
            </a:lightRig>
          </a:scene3d>
          <a:sp3d contourW="6350">
            <a:bevelT w="41275" h="19050" prst="angle"/>
            <a:contourClr>
              <a:schemeClr val="phClr">
                <a:shade val="25000"/>
                <a:satMod val="150000"/>
              </a:schemeClr>
            </a:contourClr>
          </a:sp3d>
        </a:effectStyle>
      </a:effectStyleLst>
      <a:bgFillStyleLst>
        <a:solidFill>
          <a:schemeClr val="phClr"/>
        </a:solidFill>
        <a:blipFill rotWithShape="1">
          <a:blip xmlns:r="http://schemas.openxmlformats.org/officeDocument/2006/relationships" r:embed="rId1">
            <a:duotone>
              <a:schemeClr val="phClr">
                <a:tint val="90000"/>
                <a:shade val="85000"/>
              </a:schemeClr>
              <a:schemeClr val="phClr">
                <a:tint val="95000"/>
                <a:shade val="99000"/>
              </a:schemeClr>
            </a:duotone>
          </a:blip>
          <a:tile tx="0" ty="0" sx="100000" sy="100000" flip="none" algn="tl"/>
        </a:blipFill>
        <a:blipFill rotWithShape="1">
          <a:blip xmlns:r="http://schemas.openxmlformats.org/officeDocument/2006/relationships" r:embed="rId2">
            <a:duotone>
              <a:schemeClr val="phClr">
                <a:tint val="93000"/>
                <a:shade val="85000"/>
              </a:schemeClr>
              <a:schemeClr val="phClr">
                <a:tint val="96000"/>
                <a:shade val="99000"/>
              </a:schemeClr>
            </a:duotone>
          </a:blip>
          <a:tile tx="0" ty="0" sx="90000" sy="9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Q102"/>
  <sheetViews>
    <sheetView tabSelected="1" view="pageBreakPreview" zoomScale="60" zoomScaleNormal="60" zoomScalePageLayoutView="20" workbookViewId="0">
      <selection activeCell="N65" sqref="N65:N66"/>
    </sheetView>
  </sheetViews>
  <sheetFormatPr defaultColWidth="9.33203125" defaultRowHeight="16.5"/>
  <cols>
    <col min="1" max="1" width="52.88671875" style="14" customWidth="1"/>
    <col min="2" max="2" width="13.6640625" style="6" customWidth="1"/>
    <col min="3" max="3" width="13.6640625" style="3" customWidth="1"/>
    <col min="4" max="6" width="15.44140625" style="1" customWidth="1"/>
    <col min="7" max="7" width="22.88671875" style="5" customWidth="1"/>
    <col min="8" max="8" width="13.44140625" style="1" customWidth="1"/>
    <col min="9" max="9" width="16.21875" style="1" customWidth="1"/>
    <col min="10" max="10" width="13.77734375" style="1" customWidth="1"/>
    <col min="11" max="11" width="16.21875" style="5" customWidth="1"/>
    <col min="12" max="12" width="15.33203125" style="1" customWidth="1"/>
    <col min="13" max="13" width="28.77734375" style="5" hidden="1" customWidth="1"/>
    <col min="14" max="14" width="104.5546875" style="17" customWidth="1"/>
    <col min="15" max="15" width="9.33203125" style="1"/>
    <col min="16" max="16" width="19" style="1" customWidth="1"/>
    <col min="17" max="16384" width="9.33203125" style="1"/>
  </cols>
  <sheetData>
    <row r="1" spans="1:14" ht="6.75" customHeight="1">
      <c r="B1" s="16"/>
      <c r="C1" s="16"/>
      <c r="D1" s="14"/>
      <c r="E1" s="14"/>
      <c r="F1" s="14"/>
      <c r="H1" s="14"/>
      <c r="I1" s="14"/>
      <c r="J1" s="14"/>
      <c r="L1" s="14"/>
      <c r="M1" s="14"/>
    </row>
    <row r="2" spans="1:14" s="7" customFormat="1" ht="27" customHeight="1">
      <c r="A2" s="119" t="s">
        <v>43</v>
      </c>
      <c r="B2" s="22"/>
      <c r="C2" s="22"/>
      <c r="D2" s="21"/>
      <c r="E2" s="21"/>
      <c r="F2" s="21"/>
      <c r="G2" s="21"/>
      <c r="H2" s="9"/>
      <c r="I2" s="21"/>
      <c r="J2" s="21"/>
      <c r="K2" s="23"/>
      <c r="L2" s="21"/>
      <c r="M2" s="21"/>
      <c r="N2" s="110"/>
    </row>
    <row r="3" spans="1:14" ht="27" customHeight="1" thickBot="1">
      <c r="A3" s="120" t="s">
        <v>179</v>
      </c>
      <c r="B3" s="24"/>
      <c r="C3" s="24"/>
      <c r="D3" s="25"/>
      <c r="E3" s="25"/>
      <c r="F3" s="25"/>
      <c r="G3" s="25"/>
      <c r="H3" s="89"/>
      <c r="I3" s="25"/>
      <c r="J3" s="25"/>
      <c r="K3" s="25"/>
      <c r="L3" s="25"/>
      <c r="M3" s="25"/>
    </row>
    <row r="4" spans="1:14" s="7" customFormat="1" ht="75.599999999999994" customHeight="1">
      <c r="A4" s="265" t="s">
        <v>10</v>
      </c>
      <c r="B4" s="267" t="s">
        <v>91</v>
      </c>
      <c r="C4" s="267" t="s">
        <v>48</v>
      </c>
      <c r="D4" s="255" t="s">
        <v>38</v>
      </c>
      <c r="E4" s="255"/>
      <c r="F4" s="255"/>
      <c r="G4" s="269" t="s">
        <v>112</v>
      </c>
      <c r="H4" s="269"/>
      <c r="I4" s="255" t="s">
        <v>113</v>
      </c>
      <c r="J4" s="255"/>
      <c r="K4" s="255" t="s">
        <v>50</v>
      </c>
      <c r="L4" s="255"/>
      <c r="M4" s="272" t="s">
        <v>0</v>
      </c>
      <c r="N4" s="274" t="s">
        <v>37</v>
      </c>
    </row>
    <row r="5" spans="1:14" s="7" customFormat="1" ht="54" customHeight="1" thickBot="1">
      <c r="A5" s="266"/>
      <c r="B5" s="268"/>
      <c r="C5" s="268"/>
      <c r="D5" s="254" t="s">
        <v>34</v>
      </c>
      <c r="E5" s="254"/>
      <c r="F5" s="254"/>
      <c r="G5" s="270" t="s">
        <v>45</v>
      </c>
      <c r="H5" s="270"/>
      <c r="I5" s="254" t="s">
        <v>45</v>
      </c>
      <c r="J5" s="254"/>
      <c r="K5" s="254" t="s">
        <v>45</v>
      </c>
      <c r="L5" s="254"/>
      <c r="M5" s="273"/>
      <c r="N5" s="275"/>
    </row>
    <row r="6" spans="1:14" ht="30.75" customHeight="1" thickBot="1">
      <c r="A6" s="121"/>
      <c r="B6" s="26"/>
      <c r="C6" s="26"/>
      <c r="D6" s="27" t="s">
        <v>26</v>
      </c>
      <c r="E6" s="27" t="s">
        <v>20</v>
      </c>
      <c r="F6" s="27" t="s">
        <v>21</v>
      </c>
      <c r="G6" s="27" t="s">
        <v>20</v>
      </c>
      <c r="H6" s="90" t="s">
        <v>21</v>
      </c>
      <c r="I6" s="27" t="s">
        <v>20</v>
      </c>
      <c r="J6" s="28" t="s">
        <v>21</v>
      </c>
      <c r="K6" s="27" t="s">
        <v>20</v>
      </c>
      <c r="L6" s="27" t="s">
        <v>21</v>
      </c>
      <c r="M6" s="29"/>
      <c r="N6" s="111"/>
    </row>
    <row r="7" spans="1:14" s="8" customFormat="1" ht="36.75" customHeight="1" thickBot="1">
      <c r="A7" s="262" t="s">
        <v>13</v>
      </c>
      <c r="B7" s="263"/>
      <c r="C7" s="263"/>
      <c r="D7" s="263"/>
      <c r="E7" s="263"/>
      <c r="F7" s="264"/>
      <c r="G7" s="30">
        <f t="shared" ref="G7:L7" si="0">SUM(G8:G35)</f>
        <v>541550</v>
      </c>
      <c r="H7" s="91">
        <f t="shared" si="0"/>
        <v>8050</v>
      </c>
      <c r="I7" s="30">
        <f>SUM(I8:I35)</f>
        <v>325470.94142199995</v>
      </c>
      <c r="J7" s="30">
        <f t="shared" si="0"/>
        <v>4040.9696600000002</v>
      </c>
      <c r="K7" s="30">
        <f t="shared" si="0"/>
        <v>2327969.8516119993</v>
      </c>
      <c r="L7" s="30">
        <f t="shared" si="0"/>
        <v>35036.819000000003</v>
      </c>
      <c r="M7" s="31"/>
      <c r="N7" s="112"/>
    </row>
    <row r="8" spans="1:14" ht="58.9" customHeight="1">
      <c r="A8" s="250" t="s">
        <v>35</v>
      </c>
      <c r="B8" s="271">
        <v>41431</v>
      </c>
      <c r="C8" s="252">
        <v>43830</v>
      </c>
      <c r="D8" s="65" t="s">
        <v>24</v>
      </c>
      <c r="E8" s="65">
        <v>24500</v>
      </c>
      <c r="F8" s="229"/>
      <c r="G8" s="229">
        <v>4000</v>
      </c>
      <c r="H8" s="235"/>
      <c r="I8" s="229">
        <v>13591.13854</v>
      </c>
      <c r="J8" s="253"/>
      <c r="K8" s="229">
        <f>148859.28356+I8</f>
        <v>162450.42210000003</v>
      </c>
      <c r="L8" s="229"/>
      <c r="M8" s="249" t="s">
        <v>42</v>
      </c>
      <c r="N8" s="278" t="s">
        <v>181</v>
      </c>
    </row>
    <row r="9" spans="1:14" ht="136.5" customHeight="1">
      <c r="A9" s="244"/>
      <c r="B9" s="216"/>
      <c r="C9" s="251"/>
      <c r="D9" s="64" t="s">
        <v>25</v>
      </c>
      <c r="E9" s="64">
        <v>38000</v>
      </c>
      <c r="F9" s="219"/>
      <c r="G9" s="219"/>
      <c r="H9" s="236"/>
      <c r="I9" s="219"/>
      <c r="J9" s="218"/>
      <c r="K9" s="219"/>
      <c r="L9" s="219"/>
      <c r="M9" s="248"/>
      <c r="N9" s="246"/>
    </row>
    <row r="10" spans="1:14" s="10" customFormat="1" ht="69" customHeight="1">
      <c r="A10" s="244" t="s">
        <v>66</v>
      </c>
      <c r="B10" s="216">
        <v>42410</v>
      </c>
      <c r="C10" s="251">
        <v>45291</v>
      </c>
      <c r="D10" s="64" t="s">
        <v>25</v>
      </c>
      <c r="E10" s="64">
        <v>140000</v>
      </c>
      <c r="F10" s="64"/>
      <c r="G10" s="219">
        <v>37225</v>
      </c>
      <c r="H10" s="236"/>
      <c r="I10" s="219">
        <v>37105.553322</v>
      </c>
      <c r="J10" s="218"/>
      <c r="K10" s="219">
        <f>102576.23686+I10</f>
        <v>139681.790182</v>
      </c>
      <c r="L10" s="219"/>
      <c r="M10" s="66"/>
      <c r="N10" s="247" t="s">
        <v>172</v>
      </c>
    </row>
    <row r="11" spans="1:14" s="10" customFormat="1" ht="102.75" customHeight="1">
      <c r="A11" s="244"/>
      <c r="B11" s="216"/>
      <c r="C11" s="251"/>
      <c r="D11" s="64" t="s">
        <v>31</v>
      </c>
      <c r="E11" s="64">
        <v>49450</v>
      </c>
      <c r="F11" s="64"/>
      <c r="G11" s="219"/>
      <c r="H11" s="236"/>
      <c r="I11" s="219"/>
      <c r="J11" s="218"/>
      <c r="K11" s="219"/>
      <c r="L11" s="219"/>
      <c r="M11" s="66"/>
      <c r="N11" s="246"/>
    </row>
    <row r="12" spans="1:14" ht="29.45" customHeight="1">
      <c r="A12" s="244" t="s">
        <v>29</v>
      </c>
      <c r="B12" s="216">
        <v>40115</v>
      </c>
      <c r="C12" s="216">
        <v>43737</v>
      </c>
      <c r="D12" s="64" t="s">
        <v>24</v>
      </c>
      <c r="E12" s="64">
        <v>75892</v>
      </c>
      <c r="F12" s="219"/>
      <c r="G12" s="219">
        <v>4000</v>
      </c>
      <c r="H12" s="236"/>
      <c r="I12" s="219">
        <v>18319.60297</v>
      </c>
      <c r="J12" s="219"/>
      <c r="K12" s="219">
        <f>372829.86217+I12</f>
        <v>391149.46513999999</v>
      </c>
      <c r="L12" s="219"/>
      <c r="M12" s="248" t="s">
        <v>42</v>
      </c>
      <c r="N12" s="221" t="s">
        <v>182</v>
      </c>
    </row>
    <row r="13" spans="1:14" ht="120.75" customHeight="1">
      <c r="A13" s="244"/>
      <c r="B13" s="216"/>
      <c r="C13" s="216"/>
      <c r="D13" s="64" t="s">
        <v>28</v>
      </c>
      <c r="E13" s="64">
        <v>140000</v>
      </c>
      <c r="F13" s="219"/>
      <c r="G13" s="219"/>
      <c r="H13" s="236"/>
      <c r="I13" s="219"/>
      <c r="J13" s="219"/>
      <c r="K13" s="219"/>
      <c r="L13" s="219"/>
      <c r="M13" s="248"/>
      <c r="N13" s="222"/>
    </row>
    <row r="14" spans="1:14" ht="31.9" customHeight="1">
      <c r="A14" s="256" t="s">
        <v>78</v>
      </c>
      <c r="B14" s="258">
        <v>42898</v>
      </c>
      <c r="C14" s="258">
        <v>45107</v>
      </c>
      <c r="D14" s="72" t="s">
        <v>31</v>
      </c>
      <c r="E14" s="72">
        <v>108190</v>
      </c>
      <c r="F14" s="230"/>
      <c r="G14" s="230">
        <v>36500</v>
      </c>
      <c r="H14" s="260"/>
      <c r="I14" s="260">
        <v>39895.193249999997</v>
      </c>
      <c r="J14" s="230"/>
      <c r="K14" s="230">
        <f>61088.39635+I14</f>
        <v>100983.58960000001</v>
      </c>
      <c r="L14" s="230"/>
      <c r="M14" s="66"/>
      <c r="N14" s="221" t="s">
        <v>183</v>
      </c>
    </row>
    <row r="15" spans="1:14" s="14" customFormat="1" ht="91.5" customHeight="1">
      <c r="A15" s="257"/>
      <c r="B15" s="259"/>
      <c r="C15" s="259"/>
      <c r="D15" s="72" t="s">
        <v>25</v>
      </c>
      <c r="E15" s="72">
        <v>114000</v>
      </c>
      <c r="F15" s="232"/>
      <c r="G15" s="232"/>
      <c r="H15" s="261"/>
      <c r="I15" s="261"/>
      <c r="J15" s="232"/>
      <c r="K15" s="232"/>
      <c r="L15" s="232"/>
      <c r="M15" s="73"/>
      <c r="N15" s="222"/>
    </row>
    <row r="16" spans="1:14" ht="118.5" customHeight="1">
      <c r="A16" s="122" t="s">
        <v>32</v>
      </c>
      <c r="B16" s="63">
        <v>40163</v>
      </c>
      <c r="C16" s="36">
        <v>45101</v>
      </c>
      <c r="D16" s="64" t="s">
        <v>30</v>
      </c>
      <c r="E16" s="64">
        <v>22132000</v>
      </c>
      <c r="F16" s="64"/>
      <c r="G16" s="84">
        <v>1600</v>
      </c>
      <c r="H16" s="72"/>
      <c r="I16" s="64">
        <v>907.44282999999996</v>
      </c>
      <c r="J16" s="64"/>
      <c r="K16" s="84">
        <f>395400.05161+I16</f>
        <v>396307.49444000004</v>
      </c>
      <c r="L16" s="64"/>
      <c r="M16" s="66" t="s">
        <v>42</v>
      </c>
      <c r="N16" s="70" t="s">
        <v>120</v>
      </c>
    </row>
    <row r="17" spans="1:14" ht="102.75" customHeight="1">
      <c r="A17" s="122" t="s">
        <v>57</v>
      </c>
      <c r="B17" s="63">
        <v>41040</v>
      </c>
      <c r="C17" s="63">
        <v>43797</v>
      </c>
      <c r="D17" s="64" t="s">
        <v>31</v>
      </c>
      <c r="E17" s="64">
        <v>200000</v>
      </c>
      <c r="F17" s="64">
        <v>20000</v>
      </c>
      <c r="G17" s="132">
        <v>38000</v>
      </c>
      <c r="H17" s="134">
        <v>8050</v>
      </c>
      <c r="I17" s="64">
        <v>28217.720590000001</v>
      </c>
      <c r="J17" s="64">
        <v>4040.9696600000002</v>
      </c>
      <c r="K17" s="84">
        <f>299698.79166+I17</f>
        <v>327916.51224999997</v>
      </c>
      <c r="L17" s="64">
        <f>30995.84934+J17</f>
        <v>35036.819000000003</v>
      </c>
      <c r="M17" s="66" t="s">
        <v>42</v>
      </c>
      <c r="N17" s="184" t="s">
        <v>158</v>
      </c>
    </row>
    <row r="18" spans="1:14" s="14" customFormat="1" ht="41.45" customHeight="1">
      <c r="A18" s="276" t="s">
        <v>109</v>
      </c>
      <c r="B18" s="103" t="s">
        <v>106</v>
      </c>
      <c r="C18" s="103" t="s">
        <v>107</v>
      </c>
      <c r="D18" s="102" t="s">
        <v>31</v>
      </c>
      <c r="E18" s="102">
        <v>16900</v>
      </c>
      <c r="F18" s="97"/>
      <c r="G18" s="230">
        <v>45600</v>
      </c>
      <c r="H18" s="260"/>
      <c r="I18" s="230">
        <v>58956.963600000003</v>
      </c>
      <c r="J18" s="230"/>
      <c r="K18" s="230">
        <f>125.74445+I18</f>
        <v>59082.708050000001</v>
      </c>
      <c r="L18" s="230"/>
      <c r="M18" s="98"/>
      <c r="N18" s="221" t="s">
        <v>184</v>
      </c>
    </row>
    <row r="19" spans="1:14" s="14" customFormat="1" ht="75" customHeight="1">
      <c r="A19" s="277"/>
      <c r="B19" s="196">
        <v>42713</v>
      </c>
      <c r="C19" s="196">
        <v>44539</v>
      </c>
      <c r="D19" s="197" t="s">
        <v>31</v>
      </c>
      <c r="E19" s="230">
        <v>250000</v>
      </c>
      <c r="F19" s="77"/>
      <c r="G19" s="232"/>
      <c r="H19" s="261"/>
      <c r="I19" s="232"/>
      <c r="J19" s="232"/>
      <c r="K19" s="232"/>
      <c r="L19" s="232"/>
      <c r="M19" s="88"/>
      <c r="N19" s="222"/>
    </row>
    <row r="20" spans="1:14" s="14" customFormat="1" ht="63.75" customHeight="1">
      <c r="A20" s="122" t="s">
        <v>98</v>
      </c>
      <c r="B20" s="224">
        <v>42713</v>
      </c>
      <c r="C20" s="224">
        <v>44539</v>
      </c>
      <c r="D20" s="230" t="s">
        <v>31</v>
      </c>
      <c r="E20" s="231"/>
      <c r="F20" s="77"/>
      <c r="G20" s="84">
        <v>16050</v>
      </c>
      <c r="H20" s="179"/>
      <c r="I20" s="180">
        <v>4119.2177499999998</v>
      </c>
      <c r="J20" s="77"/>
      <c r="K20" s="84">
        <f>201682.00984+I20</f>
        <v>205801.22759000002</v>
      </c>
      <c r="L20" s="77"/>
      <c r="M20" s="88"/>
      <c r="N20" s="190" t="s">
        <v>168</v>
      </c>
    </row>
    <row r="21" spans="1:14" s="14" customFormat="1" ht="85.5" customHeight="1">
      <c r="A21" s="122" t="s">
        <v>100</v>
      </c>
      <c r="B21" s="226"/>
      <c r="C21" s="226"/>
      <c r="D21" s="232"/>
      <c r="E21" s="232"/>
      <c r="F21" s="77"/>
      <c r="G21" s="84">
        <v>26000</v>
      </c>
      <c r="H21" s="77"/>
      <c r="I21" s="189">
        <v>7743.1558199999999</v>
      </c>
      <c r="J21" s="77"/>
      <c r="K21" s="84">
        <f>20357.40381+I21</f>
        <v>28100.55963</v>
      </c>
      <c r="L21" s="77"/>
      <c r="M21" s="88"/>
      <c r="N21" s="190" t="s">
        <v>169</v>
      </c>
    </row>
    <row r="22" spans="1:14" s="14" customFormat="1" ht="86.25" customHeight="1">
      <c r="A22" s="122" t="s">
        <v>101</v>
      </c>
      <c r="B22" s="196"/>
      <c r="C22" s="196"/>
      <c r="D22" s="197"/>
      <c r="E22" s="197"/>
      <c r="F22" s="77"/>
      <c r="G22" s="84"/>
      <c r="H22" s="77"/>
      <c r="I22" s="77"/>
      <c r="J22" s="77"/>
      <c r="K22" s="84"/>
      <c r="L22" s="77"/>
      <c r="M22" s="88"/>
      <c r="N22" s="190" t="s">
        <v>163</v>
      </c>
    </row>
    <row r="23" spans="1:14" s="14" customFormat="1" ht="54.75" customHeight="1">
      <c r="A23" s="122" t="s">
        <v>102</v>
      </c>
      <c r="B23" s="196"/>
      <c r="C23" s="196"/>
      <c r="D23" s="197"/>
      <c r="E23" s="197"/>
      <c r="F23" s="77"/>
      <c r="G23" s="84"/>
      <c r="H23" s="77"/>
      <c r="I23" s="77"/>
      <c r="J23" s="77"/>
      <c r="K23" s="84"/>
      <c r="L23" s="77"/>
      <c r="M23" s="88"/>
      <c r="N23" s="105" t="s">
        <v>121</v>
      </c>
    </row>
    <row r="24" spans="1:14" s="14" customFormat="1" ht="53.45" customHeight="1">
      <c r="A24" s="122" t="s">
        <v>97</v>
      </c>
      <c r="B24" s="196">
        <v>43378</v>
      </c>
      <c r="C24" s="196">
        <v>31.1232024</v>
      </c>
      <c r="D24" s="197" t="s">
        <v>31</v>
      </c>
      <c r="E24" s="197">
        <v>255297</v>
      </c>
      <c r="F24" s="77"/>
      <c r="G24" s="84">
        <v>7550</v>
      </c>
      <c r="H24" s="77"/>
      <c r="I24" s="167">
        <v>3043.4983699999998</v>
      </c>
      <c r="J24" s="77"/>
      <c r="K24" s="84">
        <f>113756.3746+I24</f>
        <v>116799.87297</v>
      </c>
      <c r="L24" s="77"/>
      <c r="M24" s="88"/>
      <c r="N24" s="190" t="s">
        <v>167</v>
      </c>
    </row>
    <row r="25" spans="1:14" s="14" customFormat="1" ht="93" customHeight="1">
      <c r="A25" s="122" t="s">
        <v>103</v>
      </c>
      <c r="B25" s="196">
        <v>43704</v>
      </c>
      <c r="C25" s="196">
        <v>45291</v>
      </c>
      <c r="D25" s="197" t="s">
        <v>31</v>
      </c>
      <c r="E25" s="197">
        <v>370236</v>
      </c>
      <c r="F25" s="77"/>
      <c r="G25" s="84">
        <v>228275</v>
      </c>
      <c r="H25" s="77"/>
      <c r="I25" s="197">
        <v>55098.689469999998</v>
      </c>
      <c r="J25" s="77"/>
      <c r="K25" s="84">
        <f>I25</f>
        <v>55098.689469999998</v>
      </c>
      <c r="L25" s="77"/>
      <c r="M25" s="88"/>
      <c r="N25" s="198" t="s">
        <v>175</v>
      </c>
    </row>
    <row r="26" spans="1:14" s="14" customFormat="1" ht="90" customHeight="1">
      <c r="A26" s="122" t="s">
        <v>99</v>
      </c>
      <c r="B26" s="78"/>
      <c r="C26" s="78"/>
      <c r="D26" s="77"/>
      <c r="E26" s="77"/>
      <c r="F26" s="77"/>
      <c r="G26" s="84">
        <v>10250</v>
      </c>
      <c r="H26" s="77"/>
      <c r="I26" s="77"/>
      <c r="J26" s="77"/>
      <c r="K26" s="84"/>
      <c r="L26" s="77"/>
      <c r="M26" s="88"/>
      <c r="N26" s="195" t="s">
        <v>173</v>
      </c>
    </row>
    <row r="27" spans="1:14" s="14" customFormat="1" ht="60" customHeight="1">
      <c r="A27" s="122" t="s">
        <v>178</v>
      </c>
      <c r="B27" s="78"/>
      <c r="C27" s="78"/>
      <c r="D27" s="77"/>
      <c r="E27" s="77"/>
      <c r="F27" s="77"/>
      <c r="G27" s="84"/>
      <c r="H27" s="77"/>
      <c r="I27" s="77"/>
      <c r="J27" s="77"/>
      <c r="K27" s="84"/>
      <c r="L27" s="77"/>
      <c r="M27" s="88"/>
      <c r="N27" s="190" t="s">
        <v>176</v>
      </c>
    </row>
    <row r="28" spans="1:14" s="14" customFormat="1" ht="90" customHeight="1">
      <c r="A28" s="122" t="s">
        <v>104</v>
      </c>
      <c r="B28" s="78"/>
      <c r="C28" s="78"/>
      <c r="D28" s="77"/>
      <c r="E28" s="77"/>
      <c r="F28" s="77"/>
      <c r="G28" s="84"/>
      <c r="H28" s="77"/>
      <c r="I28" s="77"/>
      <c r="J28" s="77"/>
      <c r="K28" s="84"/>
      <c r="L28" s="77"/>
      <c r="M28" s="88"/>
      <c r="N28" s="105" t="s">
        <v>108</v>
      </c>
    </row>
    <row r="29" spans="1:14" s="4" customFormat="1" ht="27.6" customHeight="1">
      <c r="A29" s="244" t="s">
        <v>1</v>
      </c>
      <c r="B29" s="216">
        <v>40990</v>
      </c>
      <c r="C29" s="216">
        <v>43646</v>
      </c>
      <c r="D29" s="64" t="s">
        <v>24</v>
      </c>
      <c r="E29" s="64">
        <v>25800</v>
      </c>
      <c r="F29" s="219"/>
      <c r="G29" s="219">
        <v>2300</v>
      </c>
      <c r="H29" s="236"/>
      <c r="I29" s="219">
        <v>1113.30825</v>
      </c>
      <c r="J29" s="218"/>
      <c r="K29" s="219">
        <f>126586.68242+I29</f>
        <v>127699.99067</v>
      </c>
      <c r="L29" s="219"/>
      <c r="M29" s="248" t="s">
        <v>42</v>
      </c>
      <c r="N29" s="247" t="s">
        <v>122</v>
      </c>
    </row>
    <row r="30" spans="1:14" s="4" customFormat="1" ht="40.5" customHeight="1">
      <c r="A30" s="244"/>
      <c r="B30" s="216"/>
      <c r="C30" s="216"/>
      <c r="D30" s="64" t="s">
        <v>25</v>
      </c>
      <c r="E30" s="64">
        <v>30000</v>
      </c>
      <c r="F30" s="219"/>
      <c r="G30" s="219"/>
      <c r="H30" s="236"/>
      <c r="I30" s="219"/>
      <c r="J30" s="218"/>
      <c r="K30" s="219"/>
      <c r="L30" s="219"/>
      <c r="M30" s="248"/>
      <c r="N30" s="246"/>
    </row>
    <row r="31" spans="1:14" s="4" customFormat="1" ht="117.75" customHeight="1">
      <c r="A31" s="122" t="s">
        <v>46</v>
      </c>
      <c r="B31" s="63">
        <v>41829</v>
      </c>
      <c r="C31" s="103">
        <v>44012</v>
      </c>
      <c r="D31" s="64" t="s">
        <v>25</v>
      </c>
      <c r="E31" s="64">
        <v>75000</v>
      </c>
      <c r="F31" s="64"/>
      <c r="G31" s="84">
        <v>36000</v>
      </c>
      <c r="H31" s="72"/>
      <c r="I31" s="64">
        <v>33973.153610000001</v>
      </c>
      <c r="J31" s="64"/>
      <c r="K31" s="84">
        <f>111232.66285+I31</f>
        <v>145205.81646</v>
      </c>
      <c r="L31" s="64"/>
      <c r="M31" s="66" t="s">
        <v>42</v>
      </c>
      <c r="N31" s="194" t="s">
        <v>185</v>
      </c>
    </row>
    <row r="32" spans="1:14" s="4" customFormat="1" ht="147.75" customHeight="1">
      <c r="A32" s="101" t="s">
        <v>63</v>
      </c>
      <c r="B32" s="63">
        <v>42457</v>
      </c>
      <c r="C32" s="63">
        <v>44561</v>
      </c>
      <c r="D32" s="64" t="s">
        <v>25</v>
      </c>
      <c r="E32" s="64">
        <v>40000</v>
      </c>
      <c r="F32" s="64"/>
      <c r="G32" s="84">
        <v>24000</v>
      </c>
      <c r="H32" s="72"/>
      <c r="I32" s="64">
        <v>8769.8577600000008</v>
      </c>
      <c r="J32" s="64"/>
      <c r="K32" s="84">
        <f>31603.92074+I32</f>
        <v>40373.7785</v>
      </c>
      <c r="L32" s="64"/>
      <c r="M32" s="66"/>
      <c r="N32" s="194" t="s">
        <v>170</v>
      </c>
    </row>
    <row r="33" spans="1:17" s="4" customFormat="1" ht="72.599999999999994" customHeight="1">
      <c r="A33" s="101" t="s">
        <v>94</v>
      </c>
      <c r="B33" s="200" t="s">
        <v>95</v>
      </c>
      <c r="C33" s="200" t="s">
        <v>96</v>
      </c>
      <c r="D33" s="201" t="s">
        <v>25</v>
      </c>
      <c r="E33" s="201">
        <v>80000</v>
      </c>
      <c r="F33" s="201"/>
      <c r="G33" s="201">
        <v>15400</v>
      </c>
      <c r="H33" s="202"/>
      <c r="I33" s="201">
        <v>13334.336209999999</v>
      </c>
      <c r="J33" s="201"/>
      <c r="K33" s="201">
        <f>15769.12805+I33</f>
        <v>29103.464260000001</v>
      </c>
      <c r="L33" s="201"/>
      <c r="M33" s="204"/>
      <c r="N33" s="194" t="s">
        <v>171</v>
      </c>
      <c r="O33" s="201"/>
      <c r="P33" s="204"/>
      <c r="Q33" s="203"/>
    </row>
    <row r="34" spans="1:17" s="4" customFormat="1" ht="72" customHeight="1">
      <c r="A34" s="101" t="s">
        <v>64</v>
      </c>
      <c r="B34" s="63">
        <v>42752</v>
      </c>
      <c r="C34" s="63">
        <v>44196</v>
      </c>
      <c r="D34" s="64" t="s">
        <v>67</v>
      </c>
      <c r="E34" s="64">
        <v>8000</v>
      </c>
      <c r="F34" s="64"/>
      <c r="G34" s="84">
        <v>8500</v>
      </c>
      <c r="H34" s="72"/>
      <c r="I34" s="64">
        <v>795.35509000000002</v>
      </c>
      <c r="J34" s="64"/>
      <c r="K34" s="84">
        <f>795.30622+I34</f>
        <v>1590.66131</v>
      </c>
      <c r="L34" s="64"/>
      <c r="M34" s="66"/>
      <c r="N34" s="194" t="s">
        <v>174</v>
      </c>
    </row>
    <row r="35" spans="1:17" s="4" customFormat="1" ht="58.5" customHeight="1" thickBot="1">
      <c r="A35" s="123" t="s">
        <v>65</v>
      </c>
      <c r="B35" s="37">
        <v>42734</v>
      </c>
      <c r="C35" s="37">
        <v>43830</v>
      </c>
      <c r="D35" s="38" t="s">
        <v>31</v>
      </c>
      <c r="E35" s="38">
        <v>6000</v>
      </c>
      <c r="F35" s="38"/>
      <c r="G35" s="38">
        <v>300</v>
      </c>
      <c r="H35" s="81"/>
      <c r="I35" s="38">
        <v>486.75398999999999</v>
      </c>
      <c r="J35" s="38"/>
      <c r="K35" s="38">
        <f>137.055+I35</f>
        <v>623.80898999999999</v>
      </c>
      <c r="L35" s="38"/>
      <c r="M35" s="39"/>
      <c r="N35" s="75" t="s">
        <v>165</v>
      </c>
    </row>
    <row r="36" spans="1:17" s="8" customFormat="1" ht="38.450000000000003" customHeight="1" thickBot="1">
      <c r="A36" s="213" t="s">
        <v>12</v>
      </c>
      <c r="B36" s="214"/>
      <c r="C36" s="214"/>
      <c r="D36" s="214"/>
      <c r="E36" s="214"/>
      <c r="F36" s="215"/>
      <c r="G36" s="40">
        <f>G37+G38+G39+G40+G42+G43+G45+G46+G48+G49+G50+G47+G52+G53</f>
        <v>138330</v>
      </c>
      <c r="H36" s="92">
        <f>H37+H38+H39+H40+H42+H43+H45+H46+H48+H49+H50+H47+H52+H53</f>
        <v>6100</v>
      </c>
      <c r="I36" s="40">
        <f>I37+I38+I39+I40+I42+I43+I45+I46+I48+I49+I50+I47+I52+I53+I51</f>
        <v>113605.80038000002</v>
      </c>
      <c r="J36" s="40">
        <f>J37+J38+J39+J40+J42+J43+J45+J46+J48+J49+J50+J47+J52+J53+J51</f>
        <v>4109.73621</v>
      </c>
      <c r="K36" s="40">
        <f>K37+K38+K39+K40+K42+K43+K45+K46+K48+K49+K50+K47+K52+K53+K51</f>
        <v>884690.45354000002</v>
      </c>
      <c r="L36" s="40">
        <f>L37+L38+L39+L40+L42+L43+L45+L46+L48+L49+L50+L47+L52+L53+L51</f>
        <v>18998.762139999999</v>
      </c>
      <c r="M36" s="41"/>
      <c r="N36" s="113"/>
      <c r="P36" s="11"/>
    </row>
    <row r="37" spans="1:17" ht="74.25" customHeight="1">
      <c r="A37" s="206" t="s">
        <v>51</v>
      </c>
      <c r="B37" s="42">
        <v>41869</v>
      </c>
      <c r="C37" s="42" t="s">
        <v>162</v>
      </c>
      <c r="D37" s="43" t="s">
        <v>25</v>
      </c>
      <c r="E37" s="43">
        <v>30000</v>
      </c>
      <c r="F37" s="43">
        <v>5000</v>
      </c>
      <c r="G37" s="43">
        <v>8800</v>
      </c>
      <c r="H37" s="79">
        <v>3600</v>
      </c>
      <c r="I37" s="43">
        <v>8259.7123699999993</v>
      </c>
      <c r="J37" s="79">
        <v>3231.05312</v>
      </c>
      <c r="K37" s="43">
        <f>42550.40846+I37</f>
        <v>50810.12083</v>
      </c>
      <c r="L37" s="43">
        <f>4758.74569+J37</f>
        <v>7989.7988100000002</v>
      </c>
      <c r="M37" s="44"/>
      <c r="N37" s="114" t="s">
        <v>123</v>
      </c>
    </row>
    <row r="38" spans="1:17" ht="93" customHeight="1">
      <c r="A38" s="124" t="s">
        <v>6</v>
      </c>
      <c r="B38" s="68">
        <v>40227</v>
      </c>
      <c r="C38" s="186">
        <v>44196</v>
      </c>
      <c r="D38" s="67" t="s">
        <v>31</v>
      </c>
      <c r="E38" s="67">
        <v>3000</v>
      </c>
      <c r="F38" s="67"/>
      <c r="G38" s="85">
        <v>3000</v>
      </c>
      <c r="H38" s="80"/>
      <c r="I38" s="67">
        <v>1132.24335</v>
      </c>
      <c r="J38" s="67"/>
      <c r="K38" s="85">
        <f>74.757+I38</f>
        <v>1207.00035</v>
      </c>
      <c r="L38" s="67"/>
      <c r="M38" s="69" t="s">
        <v>39</v>
      </c>
      <c r="N38" s="115" t="s">
        <v>124</v>
      </c>
    </row>
    <row r="39" spans="1:17" ht="114" customHeight="1">
      <c r="A39" s="124" t="s">
        <v>58</v>
      </c>
      <c r="B39" s="68">
        <v>41621</v>
      </c>
      <c r="C39" s="186">
        <v>44926</v>
      </c>
      <c r="D39" s="67" t="s">
        <v>31</v>
      </c>
      <c r="E39" s="67">
        <v>20000</v>
      </c>
      <c r="F39" s="67">
        <v>2000</v>
      </c>
      <c r="G39" s="85"/>
      <c r="H39" s="80">
        <v>1000</v>
      </c>
      <c r="I39" s="67"/>
      <c r="J39" s="67">
        <v>878.68308999999999</v>
      </c>
      <c r="K39" s="45">
        <f>7439.85874+I39</f>
        <v>7439.8587399999997</v>
      </c>
      <c r="L39" s="67">
        <f>4849.88963+J39</f>
        <v>5728.5727200000001</v>
      </c>
      <c r="M39" s="69" t="s">
        <v>47</v>
      </c>
      <c r="N39" s="115" t="s">
        <v>125</v>
      </c>
    </row>
    <row r="40" spans="1:17" ht="73.900000000000006" customHeight="1">
      <c r="A40" s="234" t="s">
        <v>22</v>
      </c>
      <c r="B40" s="233">
        <v>40350</v>
      </c>
      <c r="C40" s="233">
        <v>44196</v>
      </c>
      <c r="D40" s="67" t="s">
        <v>24</v>
      </c>
      <c r="E40" s="67">
        <f>57986+10639</f>
        <v>68625</v>
      </c>
      <c r="F40" s="211"/>
      <c r="G40" s="242">
        <v>44150</v>
      </c>
      <c r="H40" s="212"/>
      <c r="I40" s="211">
        <v>40344.099170000001</v>
      </c>
      <c r="J40" s="211"/>
      <c r="K40" s="227">
        <f>358756.19854+I40</f>
        <v>399100.29771000001</v>
      </c>
      <c r="L40" s="211"/>
      <c r="M40" s="241" t="s">
        <v>40</v>
      </c>
      <c r="N40" s="237" t="s">
        <v>126</v>
      </c>
    </row>
    <row r="41" spans="1:17" ht="100.5" customHeight="1">
      <c r="A41" s="234"/>
      <c r="B41" s="233"/>
      <c r="C41" s="233"/>
      <c r="D41" s="67" t="s">
        <v>25</v>
      </c>
      <c r="E41" s="67">
        <f>48886+73000+20000</f>
        <v>141886</v>
      </c>
      <c r="F41" s="211"/>
      <c r="G41" s="243"/>
      <c r="H41" s="212"/>
      <c r="I41" s="211"/>
      <c r="J41" s="211"/>
      <c r="K41" s="228"/>
      <c r="L41" s="211"/>
      <c r="M41" s="241"/>
      <c r="N41" s="237"/>
    </row>
    <row r="42" spans="1:17" ht="111" customHeight="1">
      <c r="A42" s="207" t="s">
        <v>2</v>
      </c>
      <c r="B42" s="68">
        <v>40996</v>
      </c>
      <c r="C42" s="82">
        <v>43220</v>
      </c>
      <c r="D42" s="67" t="s">
        <v>25</v>
      </c>
      <c r="E42" s="67">
        <v>60000</v>
      </c>
      <c r="F42" s="67"/>
      <c r="G42" s="177">
        <v>30</v>
      </c>
      <c r="H42" s="80"/>
      <c r="I42" s="67"/>
      <c r="J42" s="46"/>
      <c r="K42" s="85">
        <f>102881.35442+I42</f>
        <v>102881.35442</v>
      </c>
      <c r="L42" s="67"/>
      <c r="M42" s="69" t="s">
        <v>40</v>
      </c>
      <c r="N42" s="115" t="s">
        <v>127</v>
      </c>
    </row>
    <row r="43" spans="1:17" ht="72" customHeight="1">
      <c r="A43" s="245" t="s">
        <v>3</v>
      </c>
      <c r="B43" s="233">
        <v>41222</v>
      </c>
      <c r="C43" s="233">
        <v>43830</v>
      </c>
      <c r="D43" s="67" t="s">
        <v>24</v>
      </c>
      <c r="E43" s="67">
        <v>19800</v>
      </c>
      <c r="F43" s="67"/>
      <c r="G43" s="211">
        <v>14025</v>
      </c>
      <c r="H43" s="212"/>
      <c r="I43" s="211">
        <v>12881.17374</v>
      </c>
      <c r="J43" s="211"/>
      <c r="K43" s="211">
        <f>57667.72863+I43</f>
        <v>70548.902369999996</v>
      </c>
      <c r="L43" s="211"/>
      <c r="M43" s="69" t="s">
        <v>40</v>
      </c>
      <c r="N43" s="237" t="s">
        <v>128</v>
      </c>
    </row>
    <row r="44" spans="1:17" ht="30.6" customHeight="1">
      <c r="A44" s="245"/>
      <c r="B44" s="233"/>
      <c r="C44" s="233"/>
      <c r="D44" s="67" t="s">
        <v>25</v>
      </c>
      <c r="E44" s="67">
        <v>9000</v>
      </c>
      <c r="F44" s="67"/>
      <c r="G44" s="211"/>
      <c r="H44" s="212"/>
      <c r="I44" s="211"/>
      <c r="J44" s="211"/>
      <c r="K44" s="211"/>
      <c r="L44" s="211"/>
      <c r="M44" s="69"/>
      <c r="N44" s="237"/>
    </row>
    <row r="45" spans="1:17" ht="87" customHeight="1">
      <c r="A45" s="124" t="s">
        <v>55</v>
      </c>
      <c r="B45" s="68">
        <v>42223</v>
      </c>
      <c r="C45" s="208">
        <v>44926</v>
      </c>
      <c r="D45" s="67" t="s">
        <v>25</v>
      </c>
      <c r="E45" s="67">
        <v>60000</v>
      </c>
      <c r="F45" s="67"/>
      <c r="G45" s="85">
        <v>17050</v>
      </c>
      <c r="H45" s="80"/>
      <c r="I45" s="67">
        <v>11411.19895</v>
      </c>
      <c r="J45" s="67"/>
      <c r="K45" s="85">
        <f>31101.72865+I45</f>
        <v>42512.927600000003</v>
      </c>
      <c r="L45" s="67"/>
      <c r="M45" s="69"/>
      <c r="N45" s="115" t="s">
        <v>129</v>
      </c>
    </row>
    <row r="46" spans="1:17" s="10" customFormat="1" ht="73.5" customHeight="1">
      <c r="A46" s="124" t="s">
        <v>56</v>
      </c>
      <c r="B46" s="68">
        <v>42136</v>
      </c>
      <c r="C46" s="191">
        <v>43963</v>
      </c>
      <c r="D46" s="67" t="s">
        <v>31</v>
      </c>
      <c r="E46" s="67">
        <v>4300</v>
      </c>
      <c r="F46" s="67">
        <v>1843</v>
      </c>
      <c r="G46" s="85">
        <v>475</v>
      </c>
      <c r="H46" s="80"/>
      <c r="I46" s="67">
        <v>474.85966999999999</v>
      </c>
      <c r="J46" s="67"/>
      <c r="K46" s="85">
        <f>119.7894+I46</f>
        <v>594.64906999999994</v>
      </c>
      <c r="L46" s="67"/>
      <c r="M46" s="69"/>
      <c r="N46" s="115" t="s">
        <v>130</v>
      </c>
    </row>
    <row r="47" spans="1:17" s="10" customFormat="1" ht="87.75" customHeight="1">
      <c r="A47" s="162" t="s">
        <v>81</v>
      </c>
      <c r="B47" s="68">
        <v>42563</v>
      </c>
      <c r="C47" s="191">
        <v>43766</v>
      </c>
      <c r="D47" s="67" t="s">
        <v>31</v>
      </c>
      <c r="E47" s="67">
        <v>10000</v>
      </c>
      <c r="F47" s="67">
        <v>2000</v>
      </c>
      <c r="G47" s="85"/>
      <c r="H47" s="80">
        <v>500</v>
      </c>
      <c r="I47" s="67"/>
      <c r="J47" s="67"/>
      <c r="K47" s="85">
        <f>12332.76308+I47</f>
        <v>12332.763080000001</v>
      </c>
      <c r="L47" s="199">
        <f>5280.39061+J47</f>
        <v>5280.3906100000004</v>
      </c>
      <c r="M47" s="69"/>
      <c r="N47" s="115" t="s">
        <v>131</v>
      </c>
    </row>
    <row r="48" spans="1:17" s="4" customFormat="1" ht="93" customHeight="1">
      <c r="A48" s="124" t="s">
        <v>114</v>
      </c>
      <c r="B48" s="185">
        <v>43285</v>
      </c>
      <c r="C48" s="186">
        <v>44016</v>
      </c>
      <c r="D48" s="182" t="s">
        <v>31</v>
      </c>
      <c r="E48" s="182">
        <v>2830</v>
      </c>
      <c r="F48" s="182">
        <v>1870</v>
      </c>
      <c r="G48" s="182">
        <v>700</v>
      </c>
      <c r="H48" s="182">
        <v>1000</v>
      </c>
      <c r="I48" s="182"/>
      <c r="J48" s="187"/>
      <c r="K48" s="182"/>
      <c r="L48" s="182"/>
      <c r="M48" s="188" t="s">
        <v>41</v>
      </c>
      <c r="N48" s="183" t="s">
        <v>159</v>
      </c>
    </row>
    <row r="49" spans="1:15" s="4" customFormat="1" ht="97.5" customHeight="1">
      <c r="A49" s="124" t="s">
        <v>61</v>
      </c>
      <c r="B49" s="68">
        <v>42411</v>
      </c>
      <c r="C49" s="208">
        <v>43830</v>
      </c>
      <c r="D49" s="67" t="s">
        <v>31</v>
      </c>
      <c r="E49" s="67">
        <v>100000</v>
      </c>
      <c r="F49" s="67"/>
      <c r="G49" s="85">
        <v>48500</v>
      </c>
      <c r="H49" s="80"/>
      <c r="I49" s="67">
        <v>38426.40496</v>
      </c>
      <c r="J49" s="67"/>
      <c r="K49" s="85">
        <f>127652.683+I49</f>
        <v>166079.08796</v>
      </c>
      <c r="L49" s="67"/>
      <c r="M49" s="69"/>
      <c r="N49" s="115" t="s">
        <v>132</v>
      </c>
    </row>
    <row r="50" spans="1:15" s="4" customFormat="1" ht="90.75" customHeight="1">
      <c r="A50" s="124" t="s">
        <v>68</v>
      </c>
      <c r="B50" s="133">
        <v>42713</v>
      </c>
      <c r="C50" s="133">
        <v>44561</v>
      </c>
      <c r="D50" s="130" t="s">
        <v>31</v>
      </c>
      <c r="E50" s="130">
        <v>100000</v>
      </c>
      <c r="F50" s="130"/>
      <c r="G50" s="130">
        <v>1600</v>
      </c>
      <c r="H50" s="131"/>
      <c r="I50" s="130"/>
      <c r="J50" s="130"/>
      <c r="K50" s="130"/>
      <c r="L50" s="130"/>
      <c r="M50" s="136"/>
      <c r="N50" s="135" t="s">
        <v>133</v>
      </c>
    </row>
    <row r="51" spans="1:15" s="4" customFormat="1" ht="133.5" customHeight="1">
      <c r="A51" s="162" t="s">
        <v>155</v>
      </c>
      <c r="B51" s="174">
        <v>41884</v>
      </c>
      <c r="C51" s="82">
        <v>43830</v>
      </c>
      <c r="D51" s="175" t="s">
        <v>31</v>
      </c>
      <c r="E51" s="175">
        <v>13200</v>
      </c>
      <c r="F51" s="175"/>
      <c r="G51" s="175"/>
      <c r="H51" s="175"/>
      <c r="I51" s="175">
        <v>180.53817000000001</v>
      </c>
      <c r="J51" s="46"/>
      <c r="K51" s="175">
        <f>30507.38324+I51</f>
        <v>30687.921409999999</v>
      </c>
      <c r="L51" s="175"/>
      <c r="M51" s="176" t="s">
        <v>41</v>
      </c>
      <c r="N51" s="178" t="s">
        <v>156</v>
      </c>
    </row>
    <row r="52" spans="1:15" s="4" customFormat="1" ht="81.75" customHeight="1">
      <c r="A52" s="124" t="s">
        <v>115</v>
      </c>
      <c r="B52" s="133">
        <v>43035</v>
      </c>
      <c r="C52" s="133">
        <v>44925</v>
      </c>
      <c r="D52" s="130" t="s">
        <v>31</v>
      </c>
      <c r="E52" s="130">
        <v>30000</v>
      </c>
      <c r="F52" s="130">
        <v>2000</v>
      </c>
      <c r="G52" s="130"/>
      <c r="H52" s="131"/>
      <c r="I52" s="130"/>
      <c r="J52" s="130"/>
      <c r="K52" s="130"/>
      <c r="L52" s="130"/>
      <c r="M52" s="136"/>
      <c r="N52" s="183" t="s">
        <v>160</v>
      </c>
    </row>
    <row r="53" spans="1:15" s="4" customFormat="1" ht="93.75" customHeight="1" thickBot="1">
      <c r="A53" s="125" t="s">
        <v>116</v>
      </c>
      <c r="B53" s="47" t="s">
        <v>135</v>
      </c>
      <c r="C53" s="47" t="s">
        <v>152</v>
      </c>
      <c r="D53" s="48" t="s">
        <v>31</v>
      </c>
      <c r="E53" s="48">
        <v>15000</v>
      </c>
      <c r="F53" s="48"/>
      <c r="G53" s="48"/>
      <c r="H53" s="93"/>
      <c r="I53" s="48">
        <v>495.57</v>
      </c>
      <c r="J53" s="48"/>
      <c r="K53" s="49">
        <f>I53</f>
        <v>495.57</v>
      </c>
      <c r="L53" s="48"/>
      <c r="M53" s="50"/>
      <c r="N53" s="116" t="s">
        <v>154</v>
      </c>
    </row>
    <row r="54" spans="1:15" s="8" customFormat="1" ht="37.15" customHeight="1" thickBot="1">
      <c r="A54" s="213" t="s">
        <v>15</v>
      </c>
      <c r="B54" s="214"/>
      <c r="C54" s="214"/>
      <c r="D54" s="214"/>
      <c r="E54" s="214"/>
      <c r="F54" s="215"/>
      <c r="G54" s="40">
        <f t="shared" ref="G54:L54" si="1">G55+G56+G59+G61+G62+G60+G58</f>
        <v>193515</v>
      </c>
      <c r="H54" s="92">
        <f t="shared" si="1"/>
        <v>11195</v>
      </c>
      <c r="I54" s="40">
        <f t="shared" si="1"/>
        <v>163550.53316000002</v>
      </c>
      <c r="J54" s="40">
        <f t="shared" si="1"/>
        <v>12380.78584</v>
      </c>
      <c r="K54" s="40">
        <f t="shared" si="1"/>
        <v>830924.00774400006</v>
      </c>
      <c r="L54" s="40">
        <f t="shared" si="1"/>
        <v>110001.20793</v>
      </c>
      <c r="M54" s="41"/>
      <c r="N54" s="113"/>
      <c r="O54" s="12"/>
    </row>
    <row r="55" spans="1:15" ht="59.25" customHeight="1">
      <c r="A55" s="126" t="s">
        <v>23</v>
      </c>
      <c r="B55" s="51">
        <v>39626</v>
      </c>
      <c r="C55" s="51">
        <v>43829</v>
      </c>
      <c r="D55" s="32" t="s">
        <v>31</v>
      </c>
      <c r="E55" s="32">
        <v>3700</v>
      </c>
      <c r="F55" s="32">
        <v>1814</v>
      </c>
      <c r="G55" s="83">
        <v>2750</v>
      </c>
      <c r="H55" s="94"/>
      <c r="I55" s="32">
        <v>342.8655</v>
      </c>
      <c r="J55" s="52"/>
      <c r="K55" s="83">
        <f>6580.461404+I55</f>
        <v>6923.3269039999996</v>
      </c>
      <c r="L55" s="32">
        <f>3649.68102+J55</f>
        <v>3649.68102</v>
      </c>
      <c r="M55" s="53" t="s">
        <v>40</v>
      </c>
      <c r="N55" s="117" t="s">
        <v>134</v>
      </c>
    </row>
    <row r="56" spans="1:15" ht="207" customHeight="1">
      <c r="A56" s="210" t="s">
        <v>4</v>
      </c>
      <c r="B56" s="216">
        <v>40673</v>
      </c>
      <c r="C56" s="217">
        <v>44284</v>
      </c>
      <c r="D56" s="33" t="s">
        <v>24</v>
      </c>
      <c r="E56" s="33">
        <f>51343+25047+64205+23005</f>
        <v>163600</v>
      </c>
      <c r="F56" s="219"/>
      <c r="G56" s="219">
        <v>158675</v>
      </c>
      <c r="H56" s="236"/>
      <c r="I56" s="236">
        <v>131198.74989000001</v>
      </c>
      <c r="J56" s="218"/>
      <c r="K56" s="219">
        <f>491362.10463+I56</f>
        <v>622560.85452000005</v>
      </c>
      <c r="L56" s="219"/>
      <c r="M56" s="34" t="s">
        <v>7</v>
      </c>
      <c r="N56" s="221" t="s">
        <v>186</v>
      </c>
    </row>
    <row r="57" spans="1:15" ht="330.75" customHeight="1">
      <c r="A57" s="210"/>
      <c r="B57" s="216"/>
      <c r="C57" s="217"/>
      <c r="D57" s="33" t="s">
        <v>25</v>
      </c>
      <c r="E57" s="33">
        <f>108000+43000+99000</f>
        <v>250000</v>
      </c>
      <c r="F57" s="219"/>
      <c r="G57" s="219"/>
      <c r="H57" s="236"/>
      <c r="I57" s="236"/>
      <c r="J57" s="218"/>
      <c r="K57" s="219"/>
      <c r="L57" s="219"/>
      <c r="M57" s="34"/>
      <c r="N57" s="222"/>
    </row>
    <row r="58" spans="1:15" s="14" customFormat="1" ht="85.5" customHeight="1">
      <c r="A58" s="71" t="s">
        <v>105</v>
      </c>
      <c r="B58" s="100" t="s">
        <v>136</v>
      </c>
      <c r="C58" s="100" t="s">
        <v>137</v>
      </c>
      <c r="D58" s="104" t="s">
        <v>31</v>
      </c>
      <c r="E58" s="99">
        <v>100</v>
      </c>
      <c r="F58" s="77"/>
      <c r="G58" s="84"/>
      <c r="H58" s="72"/>
      <c r="I58" s="77"/>
      <c r="J58" s="87"/>
      <c r="K58" s="84">
        <f>35.07802+I58</f>
        <v>35.078020000000002</v>
      </c>
      <c r="L58" s="77"/>
      <c r="M58" s="88"/>
      <c r="N58" s="106" t="s">
        <v>138</v>
      </c>
    </row>
    <row r="59" spans="1:15" ht="201" customHeight="1">
      <c r="A59" s="71" t="s">
        <v>69</v>
      </c>
      <c r="B59" s="20">
        <v>40773</v>
      </c>
      <c r="C59" s="20">
        <v>43830</v>
      </c>
      <c r="D59" s="54" t="s">
        <v>31</v>
      </c>
      <c r="E59" s="54">
        <f>2988.339+4000+20000</f>
        <v>26988.339</v>
      </c>
      <c r="F59" s="54">
        <f>4500+6728.536+9000+4000+7000</f>
        <v>31228.536</v>
      </c>
      <c r="G59" s="84">
        <v>13400</v>
      </c>
      <c r="H59" s="72">
        <v>5350</v>
      </c>
      <c r="I59" s="54">
        <v>10676.146919999999</v>
      </c>
      <c r="J59" s="54">
        <v>4848.6794600000003</v>
      </c>
      <c r="K59" s="84">
        <f>46200.7648+I59</f>
        <v>56876.911719999996</v>
      </c>
      <c r="L59" s="54">
        <f>57507.50654+J59</f>
        <v>62356.186000000002</v>
      </c>
      <c r="M59" s="33" t="s">
        <v>8</v>
      </c>
      <c r="N59" s="70" t="s">
        <v>82</v>
      </c>
    </row>
    <row r="60" spans="1:15" ht="72" customHeight="1">
      <c r="A60" s="71" t="s">
        <v>77</v>
      </c>
      <c r="B60" s="20">
        <v>42360</v>
      </c>
      <c r="C60" s="20">
        <v>44012</v>
      </c>
      <c r="D60" s="33" t="s">
        <v>31</v>
      </c>
      <c r="E60" s="33">
        <v>30000</v>
      </c>
      <c r="F60" s="33">
        <v>2000</v>
      </c>
      <c r="G60" s="84">
        <v>14690</v>
      </c>
      <c r="H60" s="72">
        <v>1845</v>
      </c>
      <c r="I60" s="33">
        <v>15524.94176</v>
      </c>
      <c r="J60" s="33">
        <v>837.85843</v>
      </c>
      <c r="K60" s="84">
        <f>34681.49112+I60</f>
        <v>50206.43288</v>
      </c>
      <c r="L60" s="33">
        <f>3499.04143+J60</f>
        <v>4336.8998600000004</v>
      </c>
      <c r="M60" s="33"/>
      <c r="N60" s="70" t="s">
        <v>139</v>
      </c>
    </row>
    <row r="61" spans="1:15" ht="68.25" customHeight="1">
      <c r="A61" s="71" t="s">
        <v>83</v>
      </c>
      <c r="B61" s="20">
        <v>41506</v>
      </c>
      <c r="C61" s="36">
        <v>43332</v>
      </c>
      <c r="D61" s="33" t="s">
        <v>31</v>
      </c>
      <c r="E61" s="33">
        <v>40000</v>
      </c>
      <c r="F61" s="33">
        <v>8000</v>
      </c>
      <c r="G61" s="84">
        <v>4000</v>
      </c>
      <c r="H61" s="72">
        <v>700</v>
      </c>
      <c r="I61" s="33">
        <v>5807.8290900000002</v>
      </c>
      <c r="J61" s="54">
        <v>1492.1362200000001</v>
      </c>
      <c r="K61" s="84">
        <f>88513.57461+I61</f>
        <v>94321.403699999995</v>
      </c>
      <c r="L61" s="33">
        <f>17820.5113+J61</f>
        <v>19312.647519999999</v>
      </c>
      <c r="M61" s="34" t="s">
        <v>40</v>
      </c>
      <c r="N61" s="70" t="s">
        <v>140</v>
      </c>
    </row>
    <row r="62" spans="1:15" ht="87" customHeight="1" thickBot="1">
      <c r="A62" s="127" t="s">
        <v>36</v>
      </c>
      <c r="B62" s="37">
        <v>41480</v>
      </c>
      <c r="C62" s="37" t="s">
        <v>157</v>
      </c>
      <c r="D62" s="38" t="s">
        <v>25</v>
      </c>
      <c r="E62" s="38"/>
      <c r="F62" s="38">
        <v>10052.155000000001</v>
      </c>
      <c r="G62" s="38"/>
      <c r="H62" s="81">
        <v>3300</v>
      </c>
      <c r="I62" s="38"/>
      <c r="J62" s="55">
        <v>5202.1117299999996</v>
      </c>
      <c r="K62" s="38"/>
      <c r="L62" s="38">
        <f>15143.6818+J62</f>
        <v>20345.793529999999</v>
      </c>
      <c r="M62" s="39" t="s">
        <v>40</v>
      </c>
      <c r="N62" s="75" t="s">
        <v>92</v>
      </c>
    </row>
    <row r="63" spans="1:15" s="8" customFormat="1" ht="30" customHeight="1" thickBot="1">
      <c r="A63" s="213" t="s">
        <v>11</v>
      </c>
      <c r="B63" s="214"/>
      <c r="C63" s="214"/>
      <c r="D63" s="214"/>
      <c r="E63" s="214"/>
      <c r="F63" s="215"/>
      <c r="G63" s="40">
        <f>G64+G65+G66+G67+G68+G69+G70+G71+G72+G73+G74+G75</f>
        <v>11100</v>
      </c>
      <c r="H63" s="92">
        <f t="shared" ref="H63:L63" si="2">H64+H65+H69+H66+H68+H67+H70+H71+H72+H73+H74+H75</f>
        <v>0</v>
      </c>
      <c r="I63" s="40">
        <f t="shared" si="2"/>
        <v>27847.05703</v>
      </c>
      <c r="J63" s="40">
        <f t="shared" si="2"/>
        <v>0</v>
      </c>
      <c r="K63" s="40">
        <f t="shared" si="2"/>
        <v>286050.782595</v>
      </c>
      <c r="L63" s="40">
        <f t="shared" si="2"/>
        <v>20950.680079999998</v>
      </c>
      <c r="M63" s="41"/>
      <c r="N63" s="113"/>
    </row>
    <row r="64" spans="1:15" ht="111" customHeight="1">
      <c r="A64" s="126" t="s">
        <v>111</v>
      </c>
      <c r="B64" s="109">
        <v>43105</v>
      </c>
      <c r="C64" s="109" t="s">
        <v>110</v>
      </c>
      <c r="D64" s="107" t="s">
        <v>31</v>
      </c>
      <c r="E64" s="107">
        <v>28000</v>
      </c>
      <c r="F64" s="107">
        <v>7000</v>
      </c>
      <c r="G64" s="83">
        <v>500</v>
      </c>
      <c r="H64" s="94"/>
      <c r="I64" s="181">
        <v>15451.766</v>
      </c>
      <c r="J64" s="86"/>
      <c r="K64" s="83">
        <f>2588.27771+I64</f>
        <v>18040.043709999998</v>
      </c>
      <c r="L64" s="83"/>
      <c r="M64" s="53" t="s">
        <v>9</v>
      </c>
      <c r="N64" s="117" t="s">
        <v>141</v>
      </c>
    </row>
    <row r="65" spans="1:14" ht="80.25" customHeight="1">
      <c r="A65" s="128" t="s">
        <v>84</v>
      </c>
      <c r="B65" s="224">
        <v>41572</v>
      </c>
      <c r="C65" s="224">
        <v>44012</v>
      </c>
      <c r="D65" s="230" t="s">
        <v>31</v>
      </c>
      <c r="E65" s="230">
        <f>25200+35000</f>
        <v>60200</v>
      </c>
      <c r="F65" s="33">
        <v>8000</v>
      </c>
      <c r="G65" s="84">
        <v>1400</v>
      </c>
      <c r="H65" s="72"/>
      <c r="I65" s="33">
        <v>743.27260000000001</v>
      </c>
      <c r="J65" s="33"/>
      <c r="K65" s="84">
        <f>92412.661955+I65</f>
        <v>93155.934555</v>
      </c>
      <c r="L65" s="33">
        <v>20950.680079999998</v>
      </c>
      <c r="M65" s="34" t="s">
        <v>33</v>
      </c>
      <c r="N65" s="240" t="s">
        <v>142</v>
      </c>
    </row>
    <row r="66" spans="1:14" s="10" customFormat="1" ht="45" customHeight="1">
      <c r="A66" s="128" t="s">
        <v>85</v>
      </c>
      <c r="B66" s="225"/>
      <c r="C66" s="225"/>
      <c r="D66" s="231"/>
      <c r="E66" s="231"/>
      <c r="F66" s="33"/>
      <c r="G66" s="84">
        <v>4700</v>
      </c>
      <c r="H66" s="72"/>
      <c r="I66" s="33">
        <v>7714.9674699999996</v>
      </c>
      <c r="J66" s="33"/>
      <c r="K66" s="84">
        <f>45219.89027+I66</f>
        <v>52934.857740000007</v>
      </c>
      <c r="L66" s="33"/>
      <c r="M66" s="34"/>
      <c r="N66" s="240"/>
    </row>
    <row r="67" spans="1:14" ht="60" customHeight="1">
      <c r="A67" s="71" t="s">
        <v>73</v>
      </c>
      <c r="B67" s="226"/>
      <c r="C67" s="226"/>
      <c r="D67" s="232"/>
      <c r="E67" s="232"/>
      <c r="F67" s="33"/>
      <c r="G67" s="84"/>
      <c r="H67" s="72"/>
      <c r="I67" s="33"/>
      <c r="J67" s="54"/>
      <c r="K67" s="84">
        <v>5120.6747100000002</v>
      </c>
      <c r="L67" s="33"/>
      <c r="M67" s="34"/>
      <c r="N67" s="108" t="s">
        <v>143</v>
      </c>
    </row>
    <row r="68" spans="1:14" ht="104.25" customHeight="1">
      <c r="A68" s="71" t="s">
        <v>72</v>
      </c>
      <c r="B68" s="20">
        <v>42838</v>
      </c>
      <c r="C68" s="36">
        <v>44742</v>
      </c>
      <c r="D68" s="76" t="s">
        <v>31</v>
      </c>
      <c r="E68" s="74">
        <v>125000</v>
      </c>
      <c r="F68" s="33"/>
      <c r="G68" s="149"/>
      <c r="H68" s="150"/>
      <c r="I68" s="33"/>
      <c r="J68" s="54"/>
      <c r="K68" s="84"/>
      <c r="L68" s="33"/>
      <c r="M68" s="34"/>
      <c r="N68" s="108" t="s">
        <v>144</v>
      </c>
    </row>
    <row r="69" spans="1:14" ht="72.75" customHeight="1">
      <c r="A69" s="71" t="s">
        <v>62</v>
      </c>
      <c r="B69" s="216">
        <v>41885</v>
      </c>
      <c r="C69" s="216">
        <v>44378</v>
      </c>
      <c r="D69" s="33" t="s">
        <v>25</v>
      </c>
      <c r="E69" s="219">
        <v>60000</v>
      </c>
      <c r="F69" s="33"/>
      <c r="G69" s="84">
        <v>3000</v>
      </c>
      <c r="H69" s="72"/>
      <c r="I69" s="33">
        <v>3937.05096</v>
      </c>
      <c r="J69" s="54"/>
      <c r="K69" s="84">
        <f>112430.30228+I69</f>
        <v>116367.35324</v>
      </c>
      <c r="L69" s="33"/>
      <c r="M69" s="34"/>
      <c r="N69" s="70" t="s">
        <v>145</v>
      </c>
    </row>
    <row r="70" spans="1:14" ht="57.75" customHeight="1">
      <c r="A70" s="71" t="s">
        <v>74</v>
      </c>
      <c r="B70" s="216"/>
      <c r="C70" s="216"/>
      <c r="D70" s="33" t="s">
        <v>25</v>
      </c>
      <c r="E70" s="220"/>
      <c r="F70" s="33"/>
      <c r="G70" s="84"/>
      <c r="H70" s="72"/>
      <c r="I70" s="33"/>
      <c r="J70" s="54"/>
      <c r="K70" s="84">
        <f>431.91864+I70</f>
        <v>431.91863999999998</v>
      </c>
      <c r="L70" s="33"/>
      <c r="M70" s="34"/>
      <c r="N70" s="70" t="s">
        <v>89</v>
      </c>
    </row>
    <row r="71" spans="1:14" ht="148.5" customHeight="1">
      <c r="A71" s="71" t="s">
        <v>180</v>
      </c>
      <c r="B71" s="20"/>
      <c r="C71" s="20"/>
      <c r="D71" s="33" t="s">
        <v>31</v>
      </c>
      <c r="E71" s="33"/>
      <c r="F71" s="33"/>
      <c r="G71" s="84">
        <v>1500</v>
      </c>
      <c r="H71" s="72"/>
      <c r="I71" s="33"/>
      <c r="J71" s="54"/>
      <c r="K71" s="84"/>
      <c r="L71" s="33"/>
      <c r="M71" s="34"/>
      <c r="N71" s="108" t="s">
        <v>88</v>
      </c>
    </row>
    <row r="72" spans="1:14" ht="83.25" customHeight="1">
      <c r="A72" s="71" t="s">
        <v>75</v>
      </c>
      <c r="B72" s="20"/>
      <c r="C72" s="20"/>
      <c r="D72" s="33"/>
      <c r="E72" s="33"/>
      <c r="F72" s="33"/>
      <c r="G72" s="84"/>
      <c r="H72" s="72"/>
      <c r="I72" s="33"/>
      <c r="J72" s="54"/>
      <c r="K72" s="84"/>
      <c r="L72" s="33"/>
      <c r="M72" s="34"/>
      <c r="N72" s="70" t="s">
        <v>79</v>
      </c>
    </row>
    <row r="73" spans="1:14" ht="117" customHeight="1">
      <c r="A73" s="172" t="s">
        <v>76</v>
      </c>
      <c r="B73" s="165"/>
      <c r="C73" s="36"/>
      <c r="D73" s="76"/>
      <c r="E73" s="166"/>
      <c r="F73" s="166"/>
      <c r="G73" s="166"/>
      <c r="H73" s="167"/>
      <c r="I73" s="166"/>
      <c r="J73" s="168"/>
      <c r="K73" s="166"/>
      <c r="L73" s="166"/>
      <c r="M73" s="169"/>
      <c r="N73" s="171" t="s">
        <v>80</v>
      </c>
    </row>
    <row r="74" spans="1:14" s="14" customFormat="1" ht="45" customHeight="1">
      <c r="A74" s="147" t="s">
        <v>117</v>
      </c>
      <c r="B74" s="141"/>
      <c r="C74" s="36"/>
      <c r="D74" s="76" t="s">
        <v>31</v>
      </c>
      <c r="E74" s="142"/>
      <c r="F74" s="142"/>
      <c r="G74" s="142"/>
      <c r="H74" s="143"/>
      <c r="I74" s="142"/>
      <c r="J74" s="144"/>
      <c r="K74" s="142"/>
      <c r="L74" s="142"/>
      <c r="M74" s="145"/>
      <c r="N74" s="146" t="s">
        <v>153</v>
      </c>
    </row>
    <row r="75" spans="1:14" s="14" customFormat="1" ht="53.25" customHeight="1" thickBot="1">
      <c r="A75" s="151" t="s">
        <v>118</v>
      </c>
      <c r="B75" s="152"/>
      <c r="C75" s="152"/>
      <c r="D75" s="153" t="s">
        <v>31</v>
      </c>
      <c r="E75" s="153"/>
      <c r="F75" s="153"/>
      <c r="G75" s="153"/>
      <c r="H75" s="154"/>
      <c r="I75" s="153"/>
      <c r="J75" s="155"/>
      <c r="K75" s="153"/>
      <c r="L75" s="153"/>
      <c r="M75" s="156"/>
      <c r="N75" s="157" t="s">
        <v>153</v>
      </c>
    </row>
    <row r="76" spans="1:14" s="14" customFormat="1" ht="36.6" customHeight="1" thickBot="1">
      <c r="A76" s="213" t="s">
        <v>17</v>
      </c>
      <c r="B76" s="214"/>
      <c r="C76" s="214"/>
      <c r="D76" s="214"/>
      <c r="E76" s="214"/>
      <c r="F76" s="215"/>
      <c r="G76" s="40">
        <f t="shared" ref="G76:L76" si="3">G77+G80+G82+G81</f>
        <v>19830</v>
      </c>
      <c r="H76" s="92">
        <f t="shared" si="3"/>
        <v>5510</v>
      </c>
      <c r="I76" s="40">
        <f t="shared" si="3"/>
        <v>13889.859880000002</v>
      </c>
      <c r="J76" s="40">
        <f t="shared" si="3"/>
        <v>2763.51314</v>
      </c>
      <c r="K76" s="40">
        <f t="shared" si="3"/>
        <v>79735.399045999991</v>
      </c>
      <c r="L76" s="40">
        <f t="shared" si="3"/>
        <v>9366.9966800000002</v>
      </c>
      <c r="M76" s="41"/>
      <c r="N76" s="113"/>
    </row>
    <row r="77" spans="1:14" s="14" customFormat="1" ht="109.15" customHeight="1">
      <c r="A77" s="223" t="s">
        <v>52</v>
      </c>
      <c r="B77" s="56">
        <v>42052</v>
      </c>
      <c r="C77" s="192">
        <v>44121</v>
      </c>
      <c r="D77" s="32" t="s">
        <v>24</v>
      </c>
      <c r="E77" s="32">
        <v>8610</v>
      </c>
      <c r="F77" s="32"/>
      <c r="G77" s="229">
        <v>6730</v>
      </c>
      <c r="H77" s="235">
        <v>5270</v>
      </c>
      <c r="I77" s="229">
        <v>7793.29223</v>
      </c>
      <c r="J77" s="229">
        <v>2763.51314</v>
      </c>
      <c r="K77" s="229">
        <f>16279.05301+I77</f>
        <v>24072.345239999999</v>
      </c>
      <c r="L77" s="229">
        <f>6102.55654+J77</f>
        <v>8866.0696800000005</v>
      </c>
      <c r="M77" s="53"/>
      <c r="N77" s="238" t="s">
        <v>177</v>
      </c>
    </row>
    <row r="78" spans="1:14" s="14" customFormat="1" ht="111" customHeight="1">
      <c r="A78" s="210"/>
      <c r="B78" s="36">
        <v>41978</v>
      </c>
      <c r="C78" s="57">
        <v>42735</v>
      </c>
      <c r="D78" s="33" t="s">
        <v>25</v>
      </c>
      <c r="E78" s="33"/>
      <c r="F78" s="33">
        <v>500</v>
      </c>
      <c r="G78" s="219"/>
      <c r="H78" s="236"/>
      <c r="I78" s="219"/>
      <c r="J78" s="219"/>
      <c r="K78" s="219"/>
      <c r="L78" s="219"/>
      <c r="M78" s="34"/>
      <c r="N78" s="239"/>
    </row>
    <row r="79" spans="1:14" s="8" customFormat="1" ht="102.6" customHeight="1">
      <c r="A79" s="210"/>
      <c r="B79" s="36">
        <v>42052</v>
      </c>
      <c r="C79" s="57">
        <v>44121</v>
      </c>
      <c r="D79" s="33" t="s">
        <v>25</v>
      </c>
      <c r="E79" s="33"/>
      <c r="F79" s="33">
        <v>5300</v>
      </c>
      <c r="G79" s="219"/>
      <c r="H79" s="236"/>
      <c r="I79" s="219"/>
      <c r="J79" s="219"/>
      <c r="K79" s="219"/>
      <c r="L79" s="219"/>
      <c r="M79" s="34"/>
      <c r="N79" s="239"/>
    </row>
    <row r="80" spans="1:14" ht="77.25" customHeight="1">
      <c r="A80" s="210" t="s">
        <v>54</v>
      </c>
      <c r="B80" s="216">
        <v>41964</v>
      </c>
      <c r="C80" s="217">
        <v>44408</v>
      </c>
      <c r="D80" s="218" t="s">
        <v>24</v>
      </c>
      <c r="E80" s="219">
        <v>32400</v>
      </c>
      <c r="F80" s="219"/>
      <c r="G80" s="142">
        <v>11000</v>
      </c>
      <c r="H80" s="142"/>
      <c r="I80" s="33">
        <v>5065.7918200000004</v>
      </c>
      <c r="J80" s="54"/>
      <c r="K80" s="84">
        <f>45181.823066+I80</f>
        <v>50247.614885999996</v>
      </c>
      <c r="L80" s="33"/>
      <c r="M80" s="34"/>
      <c r="N80" s="70" t="s">
        <v>146</v>
      </c>
    </row>
    <row r="81" spans="1:14" ht="72" customHeight="1">
      <c r="A81" s="210"/>
      <c r="B81" s="216"/>
      <c r="C81" s="217"/>
      <c r="D81" s="218"/>
      <c r="E81" s="219"/>
      <c r="F81" s="219"/>
      <c r="G81" s="142">
        <v>2100</v>
      </c>
      <c r="H81" s="142"/>
      <c r="I81" s="33">
        <v>1030.77583</v>
      </c>
      <c r="J81" s="54"/>
      <c r="K81" s="84">
        <f>4384.66309+I81</f>
        <v>5415.4389200000005</v>
      </c>
      <c r="L81" s="33"/>
      <c r="M81" s="34"/>
      <c r="N81" s="70" t="s">
        <v>147</v>
      </c>
    </row>
    <row r="82" spans="1:14" ht="98.25" customHeight="1" thickBot="1">
      <c r="A82" s="127" t="s">
        <v>53</v>
      </c>
      <c r="B82" s="37">
        <v>41946</v>
      </c>
      <c r="C82" s="58">
        <v>43190</v>
      </c>
      <c r="D82" s="55" t="s">
        <v>31</v>
      </c>
      <c r="E82" s="38"/>
      <c r="F82" s="38">
        <v>861</v>
      </c>
      <c r="G82" s="38"/>
      <c r="H82" s="81">
        <v>240</v>
      </c>
      <c r="I82" s="81"/>
      <c r="J82" s="38"/>
      <c r="K82" s="38"/>
      <c r="L82" s="38">
        <f>500.927+J82</f>
        <v>500.92700000000002</v>
      </c>
      <c r="M82" s="39"/>
      <c r="N82" s="75" t="s">
        <v>148</v>
      </c>
    </row>
    <row r="83" spans="1:14" ht="33" customHeight="1" thickBot="1">
      <c r="A83" s="213" t="s">
        <v>19</v>
      </c>
      <c r="B83" s="214"/>
      <c r="C83" s="214"/>
      <c r="D83" s="214"/>
      <c r="E83" s="214"/>
      <c r="F83" s="215"/>
      <c r="G83" s="40">
        <f t="shared" ref="G83:L83" si="4">G84+G85</f>
        <v>0</v>
      </c>
      <c r="H83" s="92">
        <f t="shared" si="4"/>
        <v>4645</v>
      </c>
      <c r="I83" s="40">
        <f t="shared" si="4"/>
        <v>0</v>
      </c>
      <c r="J83" s="40">
        <f t="shared" si="4"/>
        <v>1685.1338799999999</v>
      </c>
      <c r="K83" s="40">
        <f t="shared" si="4"/>
        <v>0</v>
      </c>
      <c r="L83" s="40">
        <f t="shared" si="4"/>
        <v>23747.96789</v>
      </c>
      <c r="M83" s="59"/>
      <c r="N83" s="92"/>
    </row>
    <row r="84" spans="1:14" ht="174.75" customHeight="1">
      <c r="A84" s="126" t="s">
        <v>16</v>
      </c>
      <c r="B84" s="56">
        <v>40119</v>
      </c>
      <c r="C84" s="51">
        <v>43465</v>
      </c>
      <c r="D84" s="32" t="s">
        <v>31</v>
      </c>
      <c r="E84" s="32"/>
      <c r="F84" s="32">
        <v>2267</v>
      </c>
      <c r="G84" s="83"/>
      <c r="H84" s="94">
        <v>1345</v>
      </c>
      <c r="I84" s="32"/>
      <c r="J84" s="52">
        <v>959.22907999999995</v>
      </c>
      <c r="K84" s="83"/>
      <c r="L84" s="32">
        <f>6077.20889+J84</f>
        <v>7036.43797</v>
      </c>
      <c r="M84" s="53" t="s">
        <v>44</v>
      </c>
      <c r="N84" s="117" t="s">
        <v>149</v>
      </c>
    </row>
    <row r="85" spans="1:14" ht="210" customHeight="1" thickBot="1">
      <c r="A85" s="127" t="s">
        <v>5</v>
      </c>
      <c r="B85" s="58">
        <v>40589</v>
      </c>
      <c r="C85" s="58" t="s">
        <v>93</v>
      </c>
      <c r="D85" s="55" t="s">
        <v>31</v>
      </c>
      <c r="E85" s="38"/>
      <c r="F85" s="38">
        <v>8250</v>
      </c>
      <c r="G85" s="38"/>
      <c r="H85" s="81">
        <v>3300</v>
      </c>
      <c r="I85" s="38"/>
      <c r="J85" s="38">
        <v>725.90480000000002</v>
      </c>
      <c r="K85" s="38"/>
      <c r="L85" s="38">
        <f>15985.62512+J85</f>
        <v>16711.529920000001</v>
      </c>
      <c r="M85" s="39" t="s">
        <v>44</v>
      </c>
      <c r="N85" s="118" t="s">
        <v>150</v>
      </c>
    </row>
    <row r="86" spans="1:14" s="8" customFormat="1" ht="35.450000000000003" customHeight="1" thickBot="1">
      <c r="A86" s="213" t="s">
        <v>18</v>
      </c>
      <c r="B86" s="214"/>
      <c r="C86" s="214"/>
      <c r="D86" s="214"/>
      <c r="E86" s="214"/>
      <c r="F86" s="215"/>
      <c r="G86" s="40">
        <f t="shared" ref="G86:L86" si="5">G87+G92+G89+G90+G88+G91</f>
        <v>26800</v>
      </c>
      <c r="H86" s="92">
        <f t="shared" si="5"/>
        <v>64900</v>
      </c>
      <c r="I86" s="40">
        <f t="shared" si="5"/>
        <v>7803.4125800000002</v>
      </c>
      <c r="J86" s="40">
        <f t="shared" si="5"/>
        <v>68037.666469999996</v>
      </c>
      <c r="K86" s="40">
        <f t="shared" si="5"/>
        <v>247225.74773999999</v>
      </c>
      <c r="L86" s="40">
        <f t="shared" si="5"/>
        <v>349836.5784614</v>
      </c>
      <c r="M86" s="59"/>
      <c r="N86" s="92"/>
    </row>
    <row r="87" spans="1:14" ht="396.75" customHeight="1">
      <c r="A87" s="126" t="s">
        <v>49</v>
      </c>
      <c r="B87" s="56">
        <v>41103</v>
      </c>
      <c r="C87" s="193">
        <v>43767</v>
      </c>
      <c r="D87" s="52" t="s">
        <v>25</v>
      </c>
      <c r="E87" s="32"/>
      <c r="F87" s="32">
        <f>140000+2700</f>
        <v>142700</v>
      </c>
      <c r="G87" s="83"/>
      <c r="H87" s="94">
        <v>63900</v>
      </c>
      <c r="I87" s="32"/>
      <c r="J87" s="52">
        <v>68037.666469999996</v>
      </c>
      <c r="K87" s="83"/>
      <c r="L87" s="32">
        <f>281798.9119914+J87</f>
        <v>349836.5784614</v>
      </c>
      <c r="M87" s="53" t="s">
        <v>14</v>
      </c>
      <c r="N87" s="170" t="s">
        <v>166</v>
      </c>
    </row>
    <row r="88" spans="1:14" ht="64.5" customHeight="1">
      <c r="A88" s="205" t="s">
        <v>71</v>
      </c>
      <c r="B88" s="20">
        <v>42661</v>
      </c>
      <c r="C88" s="20">
        <v>44377</v>
      </c>
      <c r="D88" s="33" t="s">
        <v>31</v>
      </c>
      <c r="E88" s="33">
        <v>14000</v>
      </c>
      <c r="F88" s="33"/>
      <c r="G88" s="84">
        <v>500</v>
      </c>
      <c r="H88" s="72">
        <v>1000</v>
      </c>
      <c r="I88" s="33">
        <v>175.34114</v>
      </c>
      <c r="J88" s="33"/>
      <c r="K88" s="84">
        <f>I88</f>
        <v>175.34114</v>
      </c>
      <c r="L88" s="35">
        <v>0</v>
      </c>
      <c r="M88" s="34"/>
      <c r="N88" s="164" t="s">
        <v>161</v>
      </c>
    </row>
    <row r="89" spans="1:14" s="8" customFormat="1" ht="50.25" customHeight="1">
      <c r="A89" s="128" t="s">
        <v>60</v>
      </c>
      <c r="B89" s="20">
        <v>42346</v>
      </c>
      <c r="C89" s="20">
        <v>43228</v>
      </c>
      <c r="D89" s="33" t="s">
        <v>31</v>
      </c>
      <c r="E89" s="33">
        <v>82821</v>
      </c>
      <c r="F89" s="33"/>
      <c r="G89" s="84">
        <v>15000</v>
      </c>
      <c r="H89" s="72"/>
      <c r="I89" s="33"/>
      <c r="J89" s="33"/>
      <c r="K89" s="84">
        <f>226048.34892+I89</f>
        <v>226048.34891999999</v>
      </c>
      <c r="L89" s="33"/>
      <c r="M89" s="34"/>
      <c r="N89" s="70" t="s">
        <v>90</v>
      </c>
    </row>
    <row r="90" spans="1:14" ht="63" customHeight="1">
      <c r="A90" s="128" t="s">
        <v>70</v>
      </c>
      <c r="B90" s="20">
        <v>42929</v>
      </c>
      <c r="C90" s="20">
        <v>43830</v>
      </c>
      <c r="D90" s="33" t="s">
        <v>31</v>
      </c>
      <c r="E90" s="33">
        <v>5500</v>
      </c>
      <c r="F90" s="33">
        <v>1500</v>
      </c>
      <c r="G90" s="84">
        <v>1300</v>
      </c>
      <c r="H90" s="72"/>
      <c r="I90" s="33">
        <v>1017.89769</v>
      </c>
      <c r="J90" s="33"/>
      <c r="K90" s="149">
        <f>8749.28036+I90</f>
        <v>9767.1780500000004</v>
      </c>
      <c r="L90" s="35">
        <v>0</v>
      </c>
      <c r="M90" s="34"/>
      <c r="N90" s="163" t="s">
        <v>151</v>
      </c>
    </row>
    <row r="91" spans="1:14" ht="61.5" customHeight="1">
      <c r="A91" s="158" t="s">
        <v>119</v>
      </c>
      <c r="B91" s="148"/>
      <c r="C91" s="148"/>
      <c r="D91" s="139"/>
      <c r="E91" s="139"/>
      <c r="F91" s="139"/>
      <c r="G91" s="139"/>
      <c r="H91" s="140"/>
      <c r="I91" s="139"/>
      <c r="J91" s="139"/>
      <c r="K91" s="159"/>
      <c r="L91" s="159"/>
      <c r="M91" s="160"/>
      <c r="N91" s="161" t="s">
        <v>153</v>
      </c>
    </row>
    <row r="92" spans="1:14" ht="116.25" customHeight="1" thickBot="1">
      <c r="A92" s="127" t="s">
        <v>59</v>
      </c>
      <c r="B92" s="58">
        <v>42457</v>
      </c>
      <c r="C92" s="58">
        <v>44316</v>
      </c>
      <c r="D92" s="55" t="s">
        <v>25</v>
      </c>
      <c r="E92" s="38">
        <v>40000</v>
      </c>
      <c r="F92" s="38"/>
      <c r="G92" s="38">
        <v>10000</v>
      </c>
      <c r="H92" s="81"/>
      <c r="I92" s="38">
        <v>6610.1737499999999</v>
      </c>
      <c r="J92" s="38"/>
      <c r="K92" s="38">
        <f>4624.70588+I92</f>
        <v>11234.879629999999</v>
      </c>
      <c r="L92" s="38"/>
      <c r="M92" s="39"/>
      <c r="N92" s="75" t="s">
        <v>164</v>
      </c>
    </row>
    <row r="93" spans="1:14" ht="38.25" customHeight="1" thickBot="1">
      <c r="A93" s="129"/>
      <c r="B93" s="60"/>
      <c r="C93" s="60"/>
      <c r="D93" s="61"/>
      <c r="E93" s="62"/>
      <c r="F93" s="40" t="s">
        <v>27</v>
      </c>
      <c r="G93" s="40">
        <f t="shared" ref="G93:L93" si="6">G7+G36+G54+G63+G76+G83+G86</f>
        <v>931125</v>
      </c>
      <c r="H93" s="92">
        <f t="shared" si="6"/>
        <v>100400</v>
      </c>
      <c r="I93" s="40">
        <f t="shared" si="6"/>
        <v>652167.604452</v>
      </c>
      <c r="J93" s="40">
        <f t="shared" si="6"/>
        <v>93017.805200000003</v>
      </c>
      <c r="K93" s="40">
        <f t="shared" si="6"/>
        <v>4656596.2422769992</v>
      </c>
      <c r="L93" s="40">
        <f t="shared" si="6"/>
        <v>567939.01218139997</v>
      </c>
      <c r="M93" s="62"/>
      <c r="N93" s="92"/>
    </row>
    <row r="94" spans="1:14" s="14" customFormat="1" ht="14.45" customHeight="1">
      <c r="A94" s="19"/>
      <c r="B94" s="18"/>
      <c r="C94" s="18"/>
      <c r="D94" s="19"/>
      <c r="E94" s="19"/>
      <c r="F94" s="19"/>
      <c r="G94" s="95"/>
      <c r="H94" s="19"/>
      <c r="I94" s="19"/>
      <c r="J94" s="19"/>
      <c r="K94" s="95"/>
      <c r="L94" s="19"/>
      <c r="M94" s="19"/>
      <c r="N94" s="13"/>
    </row>
    <row r="95" spans="1:14" s="10" customFormat="1" ht="25.15" customHeight="1">
      <c r="A95" s="209" t="s">
        <v>86</v>
      </c>
      <c r="B95" s="209"/>
      <c r="C95" s="209"/>
      <c r="D95" s="209"/>
      <c r="E95" s="209"/>
      <c r="F95" s="209"/>
      <c r="G95" s="209"/>
      <c r="H95" s="209"/>
      <c r="I95" s="209"/>
      <c r="J95" s="209"/>
      <c r="K95" s="209"/>
      <c r="L95" s="209"/>
      <c r="M95" s="209"/>
      <c r="N95" s="209"/>
    </row>
    <row r="96" spans="1:14" s="7" customFormat="1" ht="29.25" customHeight="1">
      <c r="A96" s="14" t="s">
        <v>87</v>
      </c>
      <c r="B96" s="16"/>
      <c r="C96" s="16"/>
      <c r="D96" s="14"/>
      <c r="E96" s="14"/>
      <c r="F96" s="14"/>
      <c r="G96" s="5"/>
      <c r="H96" s="14"/>
      <c r="I96" s="173"/>
      <c r="J96" s="14"/>
      <c r="K96" s="96"/>
      <c r="L96" s="14"/>
      <c r="M96" s="14"/>
      <c r="N96" s="17"/>
    </row>
    <row r="97" spans="7:12" ht="8.25" customHeight="1"/>
    <row r="98" spans="7:12" ht="24" customHeight="1">
      <c r="G98" s="96"/>
      <c r="J98" s="2"/>
    </row>
    <row r="99" spans="7:12" ht="27" customHeight="1">
      <c r="G99" s="23"/>
      <c r="H99" s="9"/>
      <c r="I99" s="9"/>
      <c r="J99" s="9"/>
      <c r="K99" s="137"/>
      <c r="L99" s="138"/>
    </row>
    <row r="100" spans="7:12" ht="19.5">
      <c r="G100" s="96"/>
      <c r="H100" s="2"/>
      <c r="I100" s="9"/>
      <c r="J100" s="2"/>
      <c r="K100" s="96"/>
      <c r="L100" s="2"/>
    </row>
    <row r="101" spans="7:12">
      <c r="I101" s="15"/>
    </row>
    <row r="102" spans="7:12" ht="24.75" customHeight="1"/>
  </sheetData>
  <mergeCells count="145">
    <mergeCell ref="B20:B21"/>
    <mergeCell ref="C20:C21"/>
    <mergeCell ref="D20:D21"/>
    <mergeCell ref="E19:E21"/>
    <mergeCell ref="A18:A19"/>
    <mergeCell ref="G18:G19"/>
    <mergeCell ref="K18:K19"/>
    <mergeCell ref="N18:N19"/>
    <mergeCell ref="L18:L19"/>
    <mergeCell ref="J18:J19"/>
    <mergeCell ref="I18:I19"/>
    <mergeCell ref="H18:H19"/>
    <mergeCell ref="D4:F4"/>
    <mergeCell ref="B8:B9"/>
    <mergeCell ref="M4:M5"/>
    <mergeCell ref="N4:N5"/>
    <mergeCell ref="N14:N15"/>
    <mergeCell ref="L14:L15"/>
    <mergeCell ref="I4:J4"/>
    <mergeCell ref="G10:G11"/>
    <mergeCell ref="F12:F13"/>
    <mergeCell ref="G8:G9"/>
    <mergeCell ref="G12:G13"/>
    <mergeCell ref="C4:C5"/>
    <mergeCell ref="B29:B30"/>
    <mergeCell ref="I5:J5"/>
    <mergeCell ref="D5:F5"/>
    <mergeCell ref="A14:A15"/>
    <mergeCell ref="B14:B15"/>
    <mergeCell ref="C14:C15"/>
    <mergeCell ref="G14:G15"/>
    <mergeCell ref="I14:I15"/>
    <mergeCell ref="K14:K15"/>
    <mergeCell ref="F14:F15"/>
    <mergeCell ref="H14:H15"/>
    <mergeCell ref="J14:J15"/>
    <mergeCell ref="A7:F7"/>
    <mergeCell ref="A4:A5"/>
    <mergeCell ref="B4:B5"/>
    <mergeCell ref="A12:A13"/>
    <mergeCell ref="B10:B11"/>
    <mergeCell ref="G4:H4"/>
    <mergeCell ref="G5:H5"/>
    <mergeCell ref="K8:K9"/>
    <mergeCell ref="K12:K13"/>
    <mergeCell ref="B12:B13"/>
    <mergeCell ref="G29:G30"/>
    <mergeCell ref="H29:H30"/>
    <mergeCell ref="I29:I30"/>
    <mergeCell ref="J29:J30"/>
    <mergeCell ref="J8:J9"/>
    <mergeCell ref="H12:H13"/>
    <mergeCell ref="K29:K30"/>
    <mergeCell ref="K5:L5"/>
    <mergeCell ref="K4:L4"/>
    <mergeCell ref="J12:J13"/>
    <mergeCell ref="I8:I9"/>
    <mergeCell ref="L29:L30"/>
    <mergeCell ref="H10:H11"/>
    <mergeCell ref="H8:H9"/>
    <mergeCell ref="A29:A30"/>
    <mergeCell ref="H56:H57"/>
    <mergeCell ref="B56:B57"/>
    <mergeCell ref="A43:A44"/>
    <mergeCell ref="B43:B44"/>
    <mergeCell ref="C43:C44"/>
    <mergeCell ref="G43:G44"/>
    <mergeCell ref="G56:G57"/>
    <mergeCell ref="N8:N9"/>
    <mergeCell ref="N12:N13"/>
    <mergeCell ref="N29:N30"/>
    <mergeCell ref="M29:M30"/>
    <mergeCell ref="M8:M9"/>
    <mergeCell ref="M12:M13"/>
    <mergeCell ref="N10:N11"/>
    <mergeCell ref="A8:A9"/>
    <mergeCell ref="C10:C11"/>
    <mergeCell ref="A10:A11"/>
    <mergeCell ref="I12:I13"/>
    <mergeCell ref="C8:C9"/>
    <mergeCell ref="C12:C13"/>
    <mergeCell ref="J10:J11"/>
    <mergeCell ref="L10:L11"/>
    <mergeCell ref="I10:I11"/>
    <mergeCell ref="C29:C30"/>
    <mergeCell ref="F8:F9"/>
    <mergeCell ref="L8:L9"/>
    <mergeCell ref="L12:L13"/>
    <mergeCell ref="K10:K11"/>
    <mergeCell ref="F29:F30"/>
    <mergeCell ref="A36:F36"/>
    <mergeCell ref="H77:H79"/>
    <mergeCell ref="N40:N41"/>
    <mergeCell ref="F40:F41"/>
    <mergeCell ref="I77:I79"/>
    <mergeCell ref="J77:J79"/>
    <mergeCell ref="K77:K79"/>
    <mergeCell ref="L77:L79"/>
    <mergeCell ref="N77:N79"/>
    <mergeCell ref="N65:N66"/>
    <mergeCell ref="N43:N44"/>
    <mergeCell ref="M40:M41"/>
    <mergeCell ref="G40:G41"/>
    <mergeCell ref="H40:H41"/>
    <mergeCell ref="I56:I57"/>
    <mergeCell ref="K56:K57"/>
    <mergeCell ref="J56:J57"/>
    <mergeCell ref="L43:L44"/>
    <mergeCell ref="I40:I41"/>
    <mergeCell ref="L40:L41"/>
    <mergeCell ref="A77:A79"/>
    <mergeCell ref="B65:B67"/>
    <mergeCell ref="J40:J41"/>
    <mergeCell ref="K40:K41"/>
    <mergeCell ref="A63:F63"/>
    <mergeCell ref="A76:F76"/>
    <mergeCell ref="G77:G79"/>
    <mergeCell ref="B69:B70"/>
    <mergeCell ref="L56:L57"/>
    <mergeCell ref="K43:K44"/>
    <mergeCell ref="J43:J44"/>
    <mergeCell ref="C65:C67"/>
    <mergeCell ref="D65:D67"/>
    <mergeCell ref="E65:E67"/>
    <mergeCell ref="C56:C57"/>
    <mergeCell ref="F56:F57"/>
    <mergeCell ref="C40:C41"/>
    <mergeCell ref="A54:F54"/>
    <mergeCell ref="A40:A41"/>
    <mergeCell ref="B40:B41"/>
    <mergeCell ref="A95:N95"/>
    <mergeCell ref="A56:A57"/>
    <mergeCell ref="I43:I44"/>
    <mergeCell ref="H43:H44"/>
    <mergeCell ref="A83:F83"/>
    <mergeCell ref="A86:F86"/>
    <mergeCell ref="A80:A81"/>
    <mergeCell ref="B80:B81"/>
    <mergeCell ref="C80:C81"/>
    <mergeCell ref="D80:D81"/>
    <mergeCell ref="E80:E81"/>
    <mergeCell ref="F80:F81"/>
    <mergeCell ref="C69:C70"/>
    <mergeCell ref="E69:E70"/>
    <mergeCell ref="N56:N57"/>
  </mergeCells>
  <printOptions horizontalCentered="1"/>
  <pageMargins left="0" right="0" top="7.874015748031496E-2" bottom="3.937007874015748E-2" header="0" footer="0"/>
  <pageSetup paperSize="9" scale="35" fitToHeight="5" orientation="landscape" r:id="rId1"/>
  <headerFooter alignWithMargins="0"/>
  <rowBreaks count="2" manualBreakCount="2">
    <brk id="35" max="13" man="1"/>
    <brk id="53"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WEB-2019</vt:lpstr>
      <vt:lpstr>'WEB-2019'!Print_Area</vt:lpstr>
      <vt:lpstr>'WEB-2019'!Print_Titles</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dc:creator>
  <cp:lastModifiedBy>Anna Rusieshvili</cp:lastModifiedBy>
  <cp:lastPrinted>2019-12-02T12:57:35Z</cp:lastPrinted>
  <dcterms:created xsi:type="dcterms:W3CDTF">2011-04-14T08:42:21Z</dcterms:created>
  <dcterms:modified xsi:type="dcterms:W3CDTF">2019-12-02T12:59:13Z</dcterms:modified>
</cp:coreProperties>
</file>