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na.rusieshvili\Desktop\WEB info\WEB 2019\August\"/>
    </mc:Choice>
  </mc:AlternateContent>
  <bookViews>
    <workbookView xWindow="330" yWindow="555" windowWidth="28425" windowHeight="5835" tabRatio="177"/>
  </bookViews>
  <sheets>
    <sheet name="For Website_ENG" sheetId="12" r:id="rId1"/>
  </sheets>
  <externalReferences>
    <externalReference r:id="rId2"/>
    <externalReference r:id="rId3"/>
  </externalReferences>
  <definedNames>
    <definedName name="_xlnm.Print_Area" localSheetId="0">'For Website_ENG'!$A$1:$M$96</definedName>
    <definedName name="_xlnm.Print_Titles" localSheetId="0">'For Website_ENG'!$A:$A,'For Website_ENG'!$4:$6</definedName>
  </definedNames>
  <calcPr calcId="162913"/>
</workbook>
</file>

<file path=xl/calcChain.xml><?xml version="1.0" encoding="utf-8"?>
<calcChain xmlns="http://schemas.openxmlformats.org/spreadsheetml/2006/main">
  <c r="K92" i="12" l="1"/>
  <c r="K90" i="12"/>
  <c r="K89" i="12"/>
  <c r="L87" i="12"/>
  <c r="L85" i="12"/>
  <c r="L84" i="12"/>
  <c r="K81" i="12"/>
  <c r="K80" i="12"/>
  <c r="L77" i="12"/>
  <c r="K77" i="12"/>
  <c r="K70" i="12"/>
  <c r="K69" i="12"/>
  <c r="K66" i="12"/>
  <c r="K65" i="12"/>
  <c r="K64" i="12"/>
  <c r="L62" i="12"/>
  <c r="L61" i="12"/>
  <c r="K61" i="12"/>
  <c r="L60" i="12"/>
  <c r="K60" i="12"/>
  <c r="L59" i="12"/>
  <c r="K59" i="12"/>
  <c r="K56" i="12"/>
  <c r="K51" i="12"/>
  <c r="K49" i="12"/>
  <c r="L47" i="12"/>
  <c r="K47" i="12"/>
  <c r="K46" i="12"/>
  <c r="K45" i="12"/>
  <c r="K43" i="12"/>
  <c r="K40" i="12"/>
  <c r="L39" i="12"/>
  <c r="K39" i="12"/>
  <c r="K38" i="12"/>
  <c r="L37" i="12"/>
  <c r="K37" i="12"/>
  <c r="K35" i="12"/>
  <c r="K34" i="12"/>
  <c r="K33" i="12"/>
  <c r="K32" i="12"/>
  <c r="K31" i="12"/>
  <c r="K29" i="12"/>
  <c r="K23" i="12"/>
  <c r="K21" i="12"/>
  <c r="K20" i="12"/>
  <c r="L17" i="12"/>
  <c r="K17" i="12"/>
  <c r="K16" i="12"/>
  <c r="K14" i="12"/>
  <c r="K12" i="12"/>
  <c r="K10" i="12"/>
  <c r="K8" i="12"/>
  <c r="K58" i="12" l="1"/>
  <c r="L55" i="12"/>
  <c r="K55" i="12"/>
  <c r="I7" i="12" l="1"/>
  <c r="G36" i="12" l="1"/>
  <c r="L82" i="12" l="1"/>
  <c r="K42" i="12"/>
  <c r="L63" i="12" l="1"/>
  <c r="J63" i="12"/>
  <c r="I63" i="12"/>
  <c r="H63" i="12"/>
  <c r="G63" i="12"/>
  <c r="J36" i="12" l="1"/>
  <c r="I36" i="12"/>
  <c r="H36" i="12"/>
  <c r="G54" i="12"/>
  <c r="K18" i="12" l="1"/>
  <c r="L36" i="12" l="1"/>
  <c r="K36" i="12"/>
  <c r="G76" i="12"/>
  <c r="K63" i="12"/>
  <c r="I76" i="12" l="1"/>
  <c r="J76" i="12"/>
  <c r="K76" i="12" l="1"/>
  <c r="I54" i="12" l="1"/>
  <c r="L76" i="12" l="1"/>
  <c r="F87" i="12" l="1"/>
  <c r="E65" i="12"/>
  <c r="F59" i="12"/>
  <c r="E59" i="12"/>
  <c r="E57" i="12"/>
  <c r="E56" i="12"/>
  <c r="E41" i="12"/>
  <c r="E40" i="12"/>
  <c r="J7" i="12" l="1"/>
  <c r="H7" i="12"/>
  <c r="G7" i="12"/>
  <c r="L7" i="12"/>
  <c r="K7" i="12" l="1"/>
  <c r="H86" i="12"/>
  <c r="G86" i="12"/>
  <c r="K86" i="12" l="1"/>
  <c r="I86" i="12" l="1"/>
  <c r="J86" i="12"/>
  <c r="L86" i="12"/>
  <c r="G83" i="12"/>
  <c r="G93" i="12" s="1"/>
  <c r="G98" i="12" s="1"/>
  <c r="H83" i="12"/>
  <c r="I83" i="12"/>
  <c r="J83" i="12"/>
  <c r="K83" i="12"/>
  <c r="L83" i="12"/>
  <c r="H76" i="12"/>
  <c r="H54" i="12" l="1"/>
  <c r="H93" i="12" s="1"/>
  <c r="H98" i="12" s="1"/>
  <c r="I93" i="12"/>
  <c r="I98" i="12" s="1"/>
  <c r="J54" i="12"/>
  <c r="J93" i="12" s="1"/>
  <c r="J98" i="12" s="1"/>
  <c r="K54" i="12"/>
  <c r="K93" i="12" s="1"/>
  <c r="K98" i="12" s="1"/>
  <c r="L54" i="12"/>
  <c r="L93" i="12" s="1"/>
  <c r="L98" i="12" s="1"/>
</calcChain>
</file>

<file path=xl/sharedStrings.xml><?xml version="1.0" encoding="utf-8"?>
<sst xmlns="http://schemas.openxmlformats.org/spreadsheetml/2006/main" count="242" uniqueCount="171">
  <si>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</si>
  <si>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</si>
  <si>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</si>
  <si>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</si>
  <si>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</si>
  <si>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</si>
  <si>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</si>
  <si>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</si>
  <si>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</si>
  <si>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</si>
  <si>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</si>
  <si>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</si>
  <si>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</si>
  <si>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</si>
  <si>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</si>
  <si>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</si>
  <si>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</si>
  <si>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</si>
  <si>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</si>
  <si>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</si>
  <si>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</si>
  <si>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Rehabilitation of Zemo Samgori Irrigation System (ORIO)</t>
  </si>
  <si>
    <t>Second Regional and Municipal Infrastructure Development Project (WB)</t>
  </si>
  <si>
    <t>Development of Protected Areas (CNF)</t>
  </si>
  <si>
    <t>Road Infrastructure</t>
  </si>
  <si>
    <t>Energy Infrastructure</t>
  </si>
  <si>
    <t>Agriculture Sector</t>
  </si>
  <si>
    <t>Environment Protection</t>
  </si>
  <si>
    <t>TOTAL</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</si>
  <si>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</si>
  <si>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</si>
  <si>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</si>
  <si>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</si>
  <si>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</si>
  <si>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</si>
  <si>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</si>
  <si>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</si>
  <si>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</si>
  <si>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</si>
  <si>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</si>
  <si>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</si>
  <si>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</si>
  <si>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</si>
  <si>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</si>
  <si>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Batumi-Akhaltsikhe Road Project (Khulo-Goderdzi Section) (Kuwait Fund)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</si>
  <si>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</si>
  <si>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</si>
  <si>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</si>
  <si>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</si>
  <si>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First Regional Development Project (Kakheti)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</si>
  <si>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</si>
  <si>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</si>
  <si>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</si>
  <si>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</si>
  <si>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</si>
  <si>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</si>
  <si>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</si>
  <si>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</si>
  <si>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Georgia Solid Waste Management Project (EBRD)</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</si>
  <si>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</si>
  <si>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</si>
  <si>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</si>
  <si>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</si>
  <si>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</si>
  <si>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</si>
  <si>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Millennium Challenge Georgia - Compact II (MCC)</t>
  </si>
  <si>
    <t>Third Secondary and Local Roads Project (SLRP III) (WB)</t>
  </si>
  <si>
    <t xml:space="preserve"> Sustainable Urban Transport Investment Program (ADB)</t>
  </si>
  <si>
    <t>Batumi Bus Project (EBRD, E5P)</t>
  </si>
  <si>
    <r>
      <t>Date of Agreement</t>
    </r>
    <r>
      <rPr>
        <b/>
        <sz val="14"/>
        <color theme="1"/>
        <rFont val="Calibri"/>
        <family val="2"/>
      </rPr>
      <t>*</t>
    </r>
  </si>
  <si>
    <t>Capacity building of the Georgian Armed forces (France - SG) (ongoing)</t>
  </si>
  <si>
    <t>12.06.2017</t>
  </si>
  <si>
    <t>30.06.2023</t>
  </si>
  <si>
    <t xml:space="preserve">Construction of the wastewater treatment plants in Tskaltubo and Telavi (construction works are ongoing). </t>
  </si>
  <si>
    <t>19,06,2017</t>
  </si>
  <si>
    <t>15,10,2015</t>
  </si>
  <si>
    <t xml:space="preserve"> Kutaisi Waste Water (EIB, EPTATF)</t>
  </si>
  <si>
    <t>Construction/Upgrading of Algeti-Sadakhlo Road (EIB)</t>
  </si>
  <si>
    <t>Construction of Poti Bridge on River Rioni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</si>
  <si>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</si>
  <si>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</si>
  <si>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</si>
  <si>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Construction-Rehabilitation of Dzirula-Argveta section of Tbilisi-Senaki-Leselidze Road (JICA)</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</si>
  <si>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</si>
  <si>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</si>
  <si>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</si>
  <si>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</si>
  <si>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Construction/Upgrading of Algeti-Sadakhlo Road  (planned)</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</si>
  <si>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</si>
  <si>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</si>
  <si>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</si>
  <si>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</si>
  <si>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 xml:space="preserve"> -  Rehabilitation of infrastructure in Telavi, Kvareli and Akhmeta (municipal and communal infrastructure, rehabilitation of historical districts) (main works completed); 
 - Rehabilitation and improvement of cultural heritage sites (supportive infrastructure) in the Kakheti region (main works completed); 
 - Support for private sector in Agriculture and Tourism (completed).</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</si>
  <si>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</si>
  <si>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</si>
  <si>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Purchase of a new fleet of solid waste collection vehicles and solid waste containers (ongoing, approximately 150 waste-disposal vehicles and 7200 solid waste containers were purchased and given to municipalities).</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</si>
  <si>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</si>
  <si>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Rehabilitation of wastewater collector and treatment plant in Kobuleti (ongoing). </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</si>
  <si>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</si>
  <si>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</si>
  <si>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</si>
  <si>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</si>
  <si>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</si>
  <si>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</si>
  <si>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</si>
  <si>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</si>
  <si>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</si>
  <si>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</si>
  <si>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Creation of:
 - Kazbegi National Park; 
 - Kintrishi Protected Area; 
 - Algeti National Park; 
 - Pshavi-Khevsureti Protected Area.
(Development of tourism Action and Investment plans are ongoing; Development of Management Plan for Algeti National Park has commenced; Tender for demarcation of Pshavi-Khevsureti protected territories is announced; Construction of building for Algeti National Park administration and for visitors has commenced; Construction of building for Kazbegi National Park administration and for visitors has commenced; Arrangement of exhibition hall for Prometheus Cave is ongoing; Development of draft law for the creation of protected landscape in Dusheti municipality is ongoing).</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</si>
  <si>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</si>
  <si>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</si>
  <si>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</si>
  <si>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</si>
  <si>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Construction of a new Kobuleti Bypass Road (approximately 32 km) (First section (12.4 + 1.3 km) of the Highway is open for traffic, construction works completed for second section (18 km), traffic is open).</t>
  </si>
  <si>
    <t xml:space="preserve"> Donors’ supported Projects Envisaged in the State Budget</t>
  </si>
  <si>
    <t xml:space="preserve">  - Construction of Batumi Bypass two-lane 14.3 km Road (construction works are ongoing);
 - Maintenance of approximately 200 km International and Local roads (planned).</t>
  </si>
  <si>
    <t>Rehabilitation of secondary and local roads in different regions of Georgia (approx. 225 km in total) (completed).</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</si>
  <si>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</si>
  <si>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</si>
  <si>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</si>
  <si>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</si>
  <si>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</si>
  <si>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</si>
  <si>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(planned)</t>
  </si>
  <si>
    <t>Amount envisaged in the State Budget 2019</t>
  </si>
  <si>
    <t>Expenditures made during the Year of 2019
(Actual expenditures) **</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</si>
  <si>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</si>
  <si>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</si>
  <si>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</si>
  <si>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</si>
  <si>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</si>
  <si>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Strengthening Kakheti Infrastructureა (KfW) </t>
  </si>
  <si>
    <t>Kheledula-Lajanuri-Oni (KfW)</t>
  </si>
  <si>
    <t>Planned</t>
  </si>
  <si>
    <t xml:space="preserve"> - Construction of the Agara - Zemo Osiauri Section (approximately 12 km) of the Highway (construction works are completed, 7 km section is open for traffic, the remaining 5 km section will be opened after the completion of construction works on the section of Zemo Osiauri-Chumateleti )
 - Construction of a riverbank protection (approximately 3.4 km) structure (completed);
 - Feasibility study and other preparatory activities (including Second Rikoti Tunnel) for the construction of the Rikoti-Zestafoni Section of Highway (completed).</t>
  </si>
  <si>
    <t xml:space="preserve"> - Construction of Zestafoni - Kutaisi section (15.2 km) (Construction works are ongoing, 14 km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</si>
  <si>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Construction of Lochini-Sagarejo (km20-km50) section of Tbilisi-Bakurtsikhe-Lagodekhi Road  (planned).</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</si>
  <si>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</si>
  <si>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</si>
  <si>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</si>
  <si>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</si>
  <si>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  Kutaisi - Construction/rehabilitation of water supply systems and treatment Plant (the procedures of designing of construction works and supervisory service procurement are ongoing).</t>
  </si>
  <si>
    <t xml:space="preserve">  - Rehabilitation of Zemo Samgori Irrigation System.
Project Preparation Stage (Preparation stage for the necessary materials for the preparation of the relevant research and technical, social, environmental and institutional aspects of analysis is completed. The process of closing the project development phase is ongoing).  </t>
  </si>
  <si>
    <t>- Purchasing of buses (diesel and electric). 40 units of diesel buses were purchased and brought to Georgia; 
- Purchasing of electric buses (planned).</t>
  </si>
  <si>
    <t>- Renewing the Solid Waste collection fleet (rear loaded compactor vehicles);
-  Upgrading of the existing solid waste transfer station;
- Rehabilitation and Improvement  of the  leachate system at the  solid waste landfill of Tbilisi.</t>
  </si>
  <si>
    <t>Rehabilitation and Reconstruction of Chiatura's Gondola Lifts (France)</t>
  </si>
  <si>
    <t>Upgrade of Urban Mechanical equipment for reversible gondola ropeways for the city of Chiatura:
 - Gondola ropeway #1 Center - Sanatorium (construction works are ongoing);
 - Gondola ropeway #2 Center - Lezhubani (construction works are ongoing);
 - Gondola ropeway #3 Center - Naguti (construction works are ongoing);
 - Gondola ropeway #4 Center - Mukhadze (construction works are ongoing)</t>
  </si>
  <si>
    <t xml:space="preserve">Rehabilitation of secondary and local roads in different regions of Georgia (approx. 200 km in total) (an additional 12 road will be  rehabilitated within the project (approx. 80 km in total). </t>
  </si>
  <si>
    <t xml:space="preserve"> - Construction of a new four lane highway (approx. 52 km) from Samtredia to Grigoleti (construction works are going under the I, II and IV lots, III lot - the agreement was terminated, negotiations with the donor on re-announcement of the tender are ongoing);
 - Road sections of Poti-Grigoleti and Grigoleti-Kobuleti Bypass Road (  preparation of the Detailed Design was completed);</t>
  </si>
  <si>
    <t xml:space="preserve"> To  implement a regional municipal waste management system in Zugdidi (on the existing waste management base) and Gurjaani (village Melaani) that will serve Samegrelo-Zemo Svaneti and Kakheti regions (preparatory works are ongoing).</t>
  </si>
  <si>
    <t xml:space="preserve">Reconstruction - Rehabilitation and necessary efficiency improvements of approximately 25 public schools in Tbilisi. (preparatory works are ongoing). 
</t>
  </si>
  <si>
    <t>Construction of Grigoleti-Choloki (km48 - km64) section of Senaki-Poti-Sarpi Road (EIB)</t>
  </si>
  <si>
    <t xml:space="preserve">Construction of Rustavi-Red Bridge (km22 - km57) section of Tbilisi-Red Bridge (Border of Republic of Azerbaijan) (planned). (The tender  procedures for selecting the  supervision of construction works of Rustavi-Red Bridge (Lot 1 an Lot 2) are ongoing). </t>
  </si>
  <si>
    <t xml:space="preserve"> - Development of a network of Innovation Hubs and Innovation Centers in the various cities and villages of Georgia;
 - Support to increase adoption and use of broadband internet services and advanced information technology by Eligible Households and Eligible MSMEs in rural areas of Georgia;
 - Developing the innovation capacity of individuals and firms.</t>
  </si>
  <si>
    <t>Construction of a new bridge at the Sadakhlo-Bagratashen border crossing between the Republic of Armenia and Georgia  (detailed projectioon works are ongoing).</t>
  </si>
  <si>
    <r>
      <rPr>
        <b/>
        <sz val="12"/>
        <color theme="1"/>
        <rFont val="Franklin Gothic Book"/>
        <family val="2"/>
        <scheme val="minor"/>
      </rPr>
      <t xml:space="preserve"> Repairs/rehabilitation of public schools in the regions of Georgia </t>
    </r>
    <r>
      <rPr>
        <sz val="12"/>
        <rFont val="Franklin Gothic Book"/>
        <family val="2"/>
        <scheme val="minor"/>
      </rPr>
      <t xml:space="preserve">
- Rehabilitation of 86 public schools and equipping  80 public schools  with natural laboratories in Shida Kartli, Samtskhe-Javakheti, Racha-Lechkhumi and Kvemo Svaneti regions (completed); 
- Full rehabilitation of 5 public schools (is ongoing), 4 schools are located in western Georgia and 1  in Kakheti.  
</t>
    </r>
    <r>
      <rPr>
        <b/>
        <sz val="12"/>
        <rFont val="Franklin Gothic Book"/>
        <family val="2"/>
        <scheme val="minor"/>
      </rPr>
      <t>Improvement of  teacher's qualifications</t>
    </r>
    <r>
      <rPr>
        <sz val="12"/>
        <rFont val="Franklin Gothic Book"/>
        <family val="2"/>
        <scheme val="minor"/>
      </rPr>
      <t xml:space="preserve">
- In the framework of general professional training course 17,656  teachers were trained, including 1861 non-georgian language teacher. 12 339  (including 1 104 non-Georgian language teachers) teachers successfully completed all three modules of general professional course. 
- Within the course of the subject methodology (Physics, Mathematics, Biology, Chemistry, English and Information Technology) 14 859 teachers, including 1 229 non-georgian language teachers successfully completed the trainings.
</t>
    </r>
    <r>
      <rPr>
        <b/>
        <sz val="12"/>
        <rFont val="Franklin Gothic Book"/>
        <family val="2"/>
        <scheme val="minor"/>
      </rPr>
      <t>Increase qualification of school directors</t>
    </r>
    <r>
      <rPr>
        <sz val="12"/>
        <rFont val="Franklin Gothic Book"/>
        <family val="2"/>
        <scheme val="minor"/>
      </rPr>
      <t xml:space="preserve">
- 1 820 directors  (including 167 from non-Georgian language schools) successfully completed  the Academy Leadership 1.
-  1 621 directors  (including 182 from non-Georgian language schools) successfully completed  the Academy Leadership 2.
- 1 718 directors  (including 152 from non-Georgian language schools) successfully completed  the Academy Leadership 3.
</t>
    </r>
    <r>
      <rPr>
        <b/>
        <sz val="12"/>
        <rFont val="Franklin Gothic Book"/>
        <family val="2"/>
        <scheme val="minor"/>
      </rPr>
      <t xml:space="preserve">Higher and Vocational  Education </t>
    </r>
    <r>
      <rPr>
        <sz val="12"/>
        <rFont val="Franklin Gothic Book"/>
        <family val="2"/>
        <scheme val="minor"/>
      </rPr>
      <t xml:space="preserve"> 
- Within the framework of the Vocational Education project, 51 new vocational education programs in line with labor market requirements,  in 10 professional institutions were established;  
-  At three Patrinor Universities of Georgia (TSU, TSU, GTU) through  Unified National Test four groups of students were accepted at the San Diego State University, 77 professors at the San Diego State University  passed the professional development/training program, rehabilitation and laboratory equipping of 5000 sq.m academic space has been implemented in partner Georgian State Universities (TSU, TSU, GTU).</t>
    </r>
  </si>
  <si>
    <t>Implementation of energy efficiency activities in public buildings. (Implementation of renewable and alternative energy sources in administrative and educational buildings) (preparatory works are ongoing).</t>
  </si>
  <si>
    <t>Construction-Rehabilitaion of Chumateleti-Khevi section of Tbilisi-Senaki-Leselidze Road (construction works are ongoing).</t>
  </si>
  <si>
    <t xml:space="preserve">Consturction-Rehabilitation of Khevi-Ubisa section of Tbilisi-Senaki-Leselidze Road (construction works are ongoing).  </t>
  </si>
  <si>
    <t xml:space="preserve">Construction of Grigoleti-Choloki (km48 - km64) section of Senaki-Poti-Sarpi Road  (constructions works are ongoing).  </t>
  </si>
  <si>
    <t>Construction of Poti Bridge on River Rioni  (Tender on supervision of construction of Poti bridge and access roads has been announced).</t>
  </si>
  <si>
    <t xml:space="preserve"> - Rehabilitation and/or periodic maintenance, technical works of selected secondary road sections in Guria region (planned); 
 - Rehabilitation of selected secondary road sections in Mtskheta - Mtianeti, Racha - Lechkhumi and Shida Kartli regions considering the design and construction conditions (rehabilitation works were completed for one section); 
 -Monitoring and supervision of works contracts (supervision of rehabilitation works of 4 road sections is ongoing).</t>
  </si>
  <si>
    <t xml:space="preserve"> Rehabilitation of secondary road connecting Dzirula-Kharagauli-Moliti-Pona-Chumateleti Road ( Dzirula-Moliti road rehabilitation - the constraction works are ongoing). </t>
  </si>
  <si>
    <t xml:space="preserve">As of August 31, 2019 (In thousand) </t>
  </si>
  <si>
    <t xml:space="preserve">  - Construction of the Zemo Osiauri - Chumateleti Section (approximately 14.1 km) of the Highway ( construction works are ongoing for Lot I, agreement for Lot II was terminated, preparation of  documentation in order to continue the remaining works is ongoing);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(planned).</t>
  </si>
  <si>
    <t>Upgrading of approximately 11 km of the existing 2-line East-West Highway Corridor to a  2-line dual carriageway from  Chumateleti to Khevi; (the contract with the successful company was signed on August 21 2019). 
The project will be implemented by EIB co-financing.</t>
  </si>
  <si>
    <t>Construction-Rehabilitation of Dzirula-Argveta section of Tbilisi-Senaki-Leselidze Road. (Tender for construction works was announced. The appraisal procedures of the proposals are ongoing).</t>
  </si>
  <si>
    <t xml:space="preserve">Construction of road and tunnel on Kvesheti-Kobi section of Mtskheta-Stepantsminda-Larsi Road. Road section: (the contract with the successful company was signed on August 15 2019; Tunnel section: signing of the contract is scheduled at the beginning of September 2019). </t>
  </si>
  <si>
    <t>Rehabilitation-reconstruction of the Khulo-Goderdzi Section of the Batumi-Akhaltsikhe Road Project (approximately 29 km 2 lane road) (Preparatory works are ongoing).</t>
  </si>
  <si>
    <t xml:space="preserve">
-Mestia - Construction of Water Intake building (completed);Construction/rehabilitation of water supply and wastewater networks (construction works are completed); Construction of wastewater treatment plant and new reservoir, rehabilitation of existing reservoir (construction works completed);
 -Anaklia - Construction of Water Intake building; Construction/rehabilitation of water supply and wastewater networks (completed); construction of wastewater treatment plant (the storage procedures are ongoing); Construction/projecting of wastewater treatment plant (tendering procedures are ongoing);
-  Kutaisi - Construction/rehabilitation of water supply systems (reservoirs, pumping stations, water distribution network) (construction works are ongoing); 
-  Poti - Construction/rehabilitation of water supply systems (completed); rehabilitation of wastewater network (constructio works are ongoing); rehabilitation of wastewater treatment plant (construction works are ongoing); 
- Ureki - Construction of water supply and wastewater systems (water distribution network, wastewater collector and treatment plant) (construction works are ongoing); 
- Ureki - Construction of wastewater collector and treatment plant (the storage procedures are ongoing);
 - Zugdidi - Construction of water systems (construction works are ongoing);
 - Zugdidi - Construction/rehabilitation of wastewater systems (construction works are ongoing);
 - Zugdidi - Construction of water supply and wastewater systems (the procedures for selection of the design are ongoing);
- Jvari – Construction of Water Supply System (construction works are ongoing);  
- Chiatura - Construction of Water Supply System (construction works are ongoing); 
- Marneuli - Rehabilitation of water supply and wastewater system facilities ( the mobilization works are ongoing);
- Marneuli - wastewater-treatment plant designing and construction (tendering procedures are ongoing); 
- Construction of Abasha main line (constructions works are ongoing);
-  Construction of Water Supply System in Telavi  (tendering procedures are ongoing); 
- Construction water and sewerage systems in Gudauri (project works are ongoing); 
-  Constraction of wastewater treatment plant in Gudauri (project works are ongoing).
</t>
  </si>
  <si>
    <r>
      <rPr>
        <b/>
        <sz val="12"/>
        <rFont val="Franklin Gothic Book"/>
        <family val="2"/>
        <scheme val="minor"/>
      </rPr>
      <t>support for the growth of income of small farmers in various regions of Georgia and  promote investments in the production / processing / sale of agricultural products</t>
    </r>
    <r>
      <rPr>
        <sz val="12"/>
        <rFont val="Franklin Gothic Book"/>
        <family val="2"/>
        <scheme val="minor"/>
      </rPr>
      <t xml:space="preserve">
- 16 demonstration plots (for fruit, vegetables, berry plantation, bay-tree, demonstration plots for conservative agriculture and honey) were arranged in Kakheti, Shida Kartli, Samegrelo, Kazgebi, Racha regions and  Adjara were arranged. 64 trainings (theoretical and practical trainin) were conducted for  2949 participants. 
- 459 small and large size grants were issued (449 for  enterprises and 10 for processing enterprises); 
- Tendering  procedures were completed for rehabilitation of Tiriponi  irrigation system distribution network (G-3 distributor's internal network and G-3-2-1) and rehabilitation of its other distribution networks (Shida Kartli, Gori), the successful company was  identified and the procedures of signing the contract is ongoing); 
- Construction works are ongoing for the rehabilitation /modernization of Kvemo Alazani Distribution network (G-32 and G-35) and its other distribution networks (Kakheti, Gurjaani);
- Construction works are ongoing for rehabilitation of Saltvisi irrigation system networks (alternative and Dzlevijvari networks ) and internal networks (Shida Kartli, Gori, Kareli);
- Preparaton of detailed project for rehabilitation of Saltvisi irrigation system G-2 distribution network and its other distribution networks (Shida Kartli, Gori, Kareli) is ongoing;
- the construction works of the reservoir in  Iakublos is ongoing (Kvemo Kartli, Dmanisi);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</si>
</sst>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dd\.mm\.yyyy"/>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b/>
      <sz val="14"/>
      <color theme="1"/>
      <name val="Calibri"/>
      <family val="2"/>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thin">
        <color indexed="64"/>
      </right>
      <top style="medium">
        <color indexed="64"/>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ashed">
        <color theme="0" tint="-0.34998626667073579"/>
      </left>
      <right/>
      <top style="dashed">
        <color theme="0" tint="-0.34998626667073579"/>
      </top>
      <bottom/>
      <diagonal/>
    </border>
    <border>
      <left style="medium">
        <color indexed="64"/>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medium">
        <color indexed="64"/>
      </right>
      <top style="dotted">
        <color theme="0" tint="-0.499984740745262"/>
      </top>
      <bottom style="thin">
        <color indexed="64"/>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
      <left style="dotted">
        <color theme="0" tint="-0.499984740745262"/>
      </left>
      <right style="medium">
        <color indexed="64"/>
      </right>
      <top style="medium">
        <color indexed="64"/>
      </top>
      <bottom/>
      <diagonal/>
    </border>
    <border>
      <left style="dotted">
        <color theme="0" tint="-0.499984740745262"/>
      </left>
      <right style="medium">
        <color indexed="64"/>
      </right>
      <top/>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23">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165" fontId="5" fillId="0" borderId="32" xfId="1" applyNumberFormat="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1" xfId="1" applyFont="1" applyFill="1" applyBorder="1" applyAlignment="1">
      <alignment horizontal="center"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13"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43" fontId="5" fillId="0" borderId="32" xfId="1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0" fontId="5" fillId="0" borderId="34" xfId="1" applyFont="1" applyFill="1" applyBorder="1" applyAlignment="1">
      <alignment horizontal="left" vertical="center" wrapText="1"/>
    </xf>
    <xf numFmtId="165" fontId="5" fillId="0" borderId="35" xfId="1" applyNumberFormat="1" applyFont="1" applyFill="1" applyBorder="1" applyAlignment="1">
      <alignment horizontal="center" vertical="center" wrapText="1"/>
    </xf>
    <xf numFmtId="164" fontId="5" fillId="0" borderId="35" xfId="1" applyNumberFormat="1" applyFont="1" applyFill="1" applyBorder="1" applyAlignment="1">
      <alignment horizontal="center" vertical="center"/>
    </xf>
    <xf numFmtId="164" fontId="5" fillId="0" borderId="37" xfId="1" applyNumberFormat="1" applyFont="1" applyFill="1" applyBorder="1" applyAlignment="1">
      <alignment horizontal="center" vertical="center"/>
    </xf>
    <xf numFmtId="164" fontId="5" fillId="0" borderId="38" xfId="1" quotePrefix="1" applyNumberFormat="1" applyFont="1" applyFill="1" applyBorder="1" applyAlignment="1">
      <alignment horizontal="center" vertical="center"/>
    </xf>
    <xf numFmtId="164" fontId="5" fillId="2" borderId="38" xfId="1" applyNumberFormat="1" applyFont="1" applyFill="1" applyBorder="1" applyAlignment="1">
      <alignment horizontal="center" vertical="center"/>
    </xf>
    <xf numFmtId="43" fontId="5" fillId="0" borderId="38" xfId="11" applyFont="1" applyFill="1" applyBorder="1" applyAlignment="1">
      <alignment horizontal="center" vertical="center"/>
    </xf>
    <xf numFmtId="164" fontId="12" fillId="3" borderId="23" xfId="1" applyNumberFormat="1" applyFont="1" applyFill="1" applyBorder="1" applyAlignment="1">
      <alignment horizontal="center" vertical="center"/>
    </xf>
    <xf numFmtId="164" fontId="5" fillId="2" borderId="35" xfId="1" applyNumberFormat="1" applyFont="1" applyFill="1" applyBorder="1" applyAlignment="1">
      <alignment horizontal="center" vertical="center"/>
    </xf>
    <xf numFmtId="164" fontId="12" fillId="3" borderId="24" xfId="1" applyNumberFormat="1" applyFont="1" applyFill="1" applyBorder="1" applyAlignment="1">
      <alignment horizontal="center" vertical="center"/>
    </xf>
    <xf numFmtId="165" fontId="5" fillId="2" borderId="29"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xf>
    <xf numFmtId="165" fontId="5" fillId="2"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xf>
    <xf numFmtId="165" fontId="5" fillId="2" borderId="35"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2"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0" fontId="5" fillId="0" borderId="28"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164" fontId="5" fillId="2" borderId="29"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0" fontId="7" fillId="0" borderId="31" xfId="4" applyFont="1" applyFill="1" applyBorder="1" applyAlignment="1">
      <alignment horizontal="left" vertical="center" wrapText="1"/>
    </xf>
    <xf numFmtId="164" fontId="5" fillId="0" borderId="46" xfId="1" applyNumberFormat="1" applyFont="1" applyFill="1" applyBorder="1" applyAlignment="1">
      <alignment horizontal="center" vertical="center"/>
    </xf>
    <xf numFmtId="43" fontId="5" fillId="0" borderId="46" xfId="1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6" fillId="0" borderId="32"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xf>
    <xf numFmtId="164" fontId="7" fillId="0" borderId="37" xfId="1" applyNumberFormat="1" applyFont="1" applyFill="1" applyBorder="1" applyAlignment="1">
      <alignment horizontal="center" vertical="center"/>
    </xf>
    <xf numFmtId="164" fontId="7" fillId="0" borderId="35"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46" xfId="1" applyNumberFormat="1" applyFont="1" applyFill="1" applyBorder="1" applyAlignment="1">
      <alignment horizontal="center" vertical="center"/>
    </xf>
    <xf numFmtId="164" fontId="6"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2" borderId="32" xfId="1" applyNumberFormat="1" applyFont="1" applyFill="1" applyBorder="1" applyAlignment="1">
      <alignment horizontal="center" vertical="center" wrapText="1"/>
    </xf>
    <xf numFmtId="164" fontId="7" fillId="2" borderId="32" xfId="1" applyNumberFormat="1" applyFont="1" applyFill="1" applyBorder="1" applyAlignment="1">
      <alignment horizontal="center" vertical="center"/>
    </xf>
    <xf numFmtId="0" fontId="7" fillId="0" borderId="31" xfId="1" applyFont="1" applyFill="1" applyBorder="1" applyAlignment="1">
      <alignmen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49" fontId="8" fillId="0" borderId="0" xfId="11" applyNumberFormat="1" applyFont="1" applyFill="1" applyBorder="1" applyAlignment="1">
      <alignment vertical="center"/>
    </xf>
    <xf numFmtId="49" fontId="7" fillId="3" borderId="2" xfId="12"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xf>
    <xf numFmtId="49" fontId="7" fillId="0" borderId="36" xfId="1" applyNumberFormat="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49" fontId="16" fillId="3" borderId="22" xfId="1" applyNumberFormat="1" applyFont="1" applyFill="1" applyBorder="1" applyAlignment="1">
      <alignment horizontal="center" vertical="center"/>
    </xf>
    <xf numFmtId="49" fontId="16" fillId="3" borderId="27" xfId="1" applyNumberFormat="1" applyFont="1" applyFill="1" applyBorder="1" applyAlignment="1">
      <alignment horizontal="center" vertical="center"/>
    </xf>
    <xf numFmtId="164" fontId="6" fillId="2" borderId="32" xfId="1" applyNumberFormat="1" applyFont="1" applyFill="1" applyBorder="1" applyAlignment="1">
      <alignment horizontal="center" vertical="center"/>
    </xf>
    <xf numFmtId="0" fontId="7" fillId="0" borderId="28" xfId="1" applyFont="1" applyFill="1" applyBorder="1" applyAlignment="1">
      <alignment horizontal="left" vertical="center" wrapText="1"/>
    </xf>
    <xf numFmtId="165" fontId="7" fillId="0" borderId="29" xfId="1" applyNumberFormat="1" applyFont="1" applyFill="1" applyBorder="1" applyAlignment="1">
      <alignment horizontal="center" vertical="center" wrapText="1"/>
    </xf>
    <xf numFmtId="49" fontId="6" fillId="0" borderId="47"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41"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5" fontId="7" fillId="0" borderId="39"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4" fontId="7" fillId="0" borderId="38"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38" xfId="1" applyNumberFormat="1" applyFont="1" applyFill="1" applyBorder="1" applyAlignment="1">
      <alignment horizontal="center" vertical="center" wrapText="1"/>
    </xf>
    <xf numFmtId="165" fontId="15" fillId="2" borderId="38" xfId="1" applyNumberFormat="1" applyFont="1" applyFill="1" applyBorder="1" applyAlignment="1">
      <alignment horizontal="center" vertical="center" wrapText="1"/>
    </xf>
    <xf numFmtId="165" fontId="5" fillId="0" borderId="46" xfId="1" applyNumberFormat="1" applyFont="1" applyFill="1" applyBorder="1" applyAlignment="1">
      <alignment horizontal="center" vertical="center" wrapText="1"/>
    </xf>
    <xf numFmtId="164" fontId="17" fillId="0" borderId="32" xfId="1" applyNumberFormat="1" applyFont="1" applyFill="1" applyBorder="1" applyAlignment="1">
      <alignment horizontal="center" vertical="center"/>
    </xf>
    <xf numFmtId="43" fontId="5" fillId="0" borderId="39" xfId="11" applyFont="1" applyFill="1" applyBorder="1" applyAlignment="1">
      <alignment horizontal="center" vertical="center"/>
    </xf>
    <xf numFmtId="0" fontId="5" fillId="0" borderId="48" xfId="1" applyFont="1" applyFill="1" applyBorder="1" applyAlignment="1">
      <alignment horizontal="left" vertical="center" wrapText="1"/>
    </xf>
    <xf numFmtId="165" fontId="5" fillId="0" borderId="49" xfId="1" applyNumberFormat="1" applyFont="1" applyFill="1" applyBorder="1" applyAlignment="1">
      <alignment horizontal="center" vertical="center" wrapText="1"/>
    </xf>
    <xf numFmtId="164" fontId="5" fillId="0" borderId="49" xfId="1" applyNumberFormat="1" applyFont="1" applyFill="1" applyBorder="1" applyAlignment="1">
      <alignment horizontal="center" vertical="center"/>
    </xf>
    <xf numFmtId="164" fontId="7" fillId="0" borderId="49" xfId="1" applyNumberFormat="1" applyFont="1" applyFill="1" applyBorder="1" applyAlignment="1">
      <alignment horizontal="center" vertical="center"/>
    </xf>
    <xf numFmtId="49" fontId="7" fillId="0" borderId="50"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49" fontId="7" fillId="0" borderId="33" xfId="1" applyNumberFormat="1" applyFont="1" applyFill="1" applyBorder="1" applyAlignment="1" applyProtection="1">
      <alignment horizontal="left" vertical="center" wrapText="1"/>
      <protection locked="0"/>
    </xf>
    <xf numFmtId="164" fontId="5" fillId="0" borderId="38" xfId="1" applyNumberFormat="1" applyFont="1" applyFill="1" applyBorder="1" applyAlignment="1">
      <alignment horizontal="center" vertical="center"/>
    </xf>
    <xf numFmtId="49" fontId="5" fillId="0" borderId="33"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7" fillId="2" borderId="38"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0" fontId="12" fillId="3" borderId="25" xfId="1" applyFont="1" applyFill="1" applyBorder="1" applyAlignment="1">
      <alignment horizontal="left" vertical="center"/>
    </xf>
    <xf numFmtId="0" fontId="12" fillId="3" borderId="26" xfId="1" applyFont="1" applyFill="1" applyBorder="1" applyAlignment="1">
      <alignment horizontal="left" vertical="center"/>
    </xf>
    <xf numFmtId="0" fontId="12" fillId="3" borderId="27" xfId="1" applyFont="1" applyFill="1" applyBorder="1" applyAlignment="1">
      <alignment horizontal="left" vertical="center"/>
    </xf>
    <xf numFmtId="164" fontId="5" fillId="2" borderId="32" xfId="1" applyNumberFormat="1" applyFont="1" applyFill="1" applyBorder="1" applyAlignment="1">
      <alignment horizontal="center" vertical="center"/>
    </xf>
    <xf numFmtId="165" fontId="5" fillId="0" borderId="39" xfId="1" applyNumberFormat="1" applyFont="1" applyFill="1" applyBorder="1" applyAlignment="1">
      <alignment horizontal="center" vertical="center" wrapText="1"/>
    </xf>
    <xf numFmtId="165" fontId="5" fillId="0" borderId="40" xfId="1" applyNumberFormat="1" applyFont="1" applyFill="1" applyBorder="1" applyAlignment="1">
      <alignment horizontal="center" vertical="center" wrapText="1"/>
    </xf>
    <xf numFmtId="165" fontId="5" fillId="0" borderId="41" xfId="1" applyNumberFormat="1" applyFont="1" applyFill="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0"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xf numFmtId="165" fontId="7" fillId="0" borderId="32"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164" fontId="7" fillId="0" borderId="41"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49" fontId="7" fillId="0" borderId="53" xfId="1" applyNumberFormat="1" applyFont="1" applyFill="1" applyBorder="1" applyAlignment="1" applyProtection="1">
      <alignment horizontal="left" vertical="center" wrapText="1"/>
      <protection locked="0"/>
    </xf>
    <xf numFmtId="49" fontId="7" fillId="0" borderId="54" xfId="1" applyNumberFormat="1" applyFont="1" applyFill="1" applyBorder="1" applyAlignment="1" applyProtection="1">
      <alignment horizontal="left" vertical="center" wrapText="1"/>
      <protection locked="0"/>
    </xf>
    <xf numFmtId="49" fontId="7" fillId="0" borderId="45" xfId="1" applyNumberFormat="1" applyFont="1" applyFill="1" applyBorder="1" applyAlignment="1" applyProtection="1">
      <alignment horizontal="left" vertical="center" wrapText="1"/>
      <protection locked="0"/>
    </xf>
    <xf numFmtId="0" fontId="5" fillId="0" borderId="28"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0" fontId="1" fillId="0" borderId="32" xfId="0" applyFont="1" applyBorder="1" applyAlignment="1">
      <alignment horizontal="center" vertical="center"/>
    </xf>
    <xf numFmtId="49" fontId="16" fillId="4" borderId="9" xfId="12" applyNumberFormat="1" applyFont="1" applyFill="1" applyBorder="1" applyAlignment="1">
      <alignment horizontal="center" vertical="center" wrapText="1"/>
    </xf>
    <xf numFmtId="49" fontId="16" fillId="4" borderId="12" xfId="12" applyNumberFormat="1" applyFont="1" applyFill="1" applyBorder="1" applyAlignment="1">
      <alignment horizontal="center" vertical="center" wrapText="1"/>
    </xf>
    <xf numFmtId="49" fontId="7" fillId="0" borderId="30" xfId="1" applyNumberFormat="1" applyFont="1" applyFill="1" applyBorder="1" applyAlignment="1">
      <alignment horizontal="left" vertical="center" wrapText="1"/>
    </xf>
    <xf numFmtId="0" fontId="12" fillId="4" borderId="14"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0" fontId="12" fillId="4" borderId="7" xfId="1" applyNumberFormat="1" applyFont="1" applyFill="1" applyBorder="1" applyAlignment="1">
      <alignment horizontal="center" vertical="center" wrapText="1"/>
    </xf>
    <xf numFmtId="0" fontId="12" fillId="4" borderId="8"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164" fontId="5" fillId="0" borderId="38" xfId="1" applyNumberFormat="1" applyFont="1" applyFill="1" applyBorder="1" applyAlignment="1">
      <alignment horizontal="center" vertical="center"/>
    </xf>
    <xf numFmtId="164" fontId="5" fillId="0" borderId="51" xfId="1" applyNumberFormat="1" applyFont="1" applyFill="1" applyBorder="1" applyAlignment="1">
      <alignment horizontal="center" vertical="center"/>
    </xf>
    <xf numFmtId="164" fontId="5" fillId="0" borderId="52"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0" fontId="5" fillId="2" borderId="28"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12" fillId="4" borderId="5" xfId="1" applyNumberFormat="1" applyFont="1" applyFill="1" applyBorder="1" applyAlignment="1">
      <alignment horizontal="center" vertical="center" textRotation="90" wrapText="1"/>
    </xf>
    <xf numFmtId="0" fontId="12" fillId="4" borderId="11" xfId="1" applyNumberFormat="1" applyFont="1" applyFill="1" applyBorder="1" applyAlignment="1">
      <alignment horizontal="center" vertical="center" textRotation="90" wrapText="1"/>
    </xf>
    <xf numFmtId="0" fontId="12" fillId="4" borderId="16" xfId="1" applyNumberFormat="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7" xfId="1" applyNumberFormat="1" applyFont="1" applyFill="1" applyBorder="1" applyAlignment="1">
      <alignment horizontal="center" vertical="center" wrapText="1"/>
    </xf>
    <xf numFmtId="0" fontId="12" fillId="4" borderId="18" xfId="1" applyNumberFormat="1" applyFont="1" applyFill="1" applyBorder="1" applyAlignment="1">
      <alignment horizontal="center" vertical="center" wrapText="1"/>
    </xf>
    <xf numFmtId="0" fontId="12" fillId="4" borderId="19" xfId="1" applyNumberFormat="1" applyFont="1" applyFill="1" applyBorder="1" applyAlignment="1">
      <alignment horizontal="center" vertical="center" wrapText="1"/>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xf numFmtId="0" fontId="12" fillId="4" borderId="2" xfId="1" applyFont="1" applyFill="1" applyBorder="1" applyAlignment="1">
      <alignment horizontal="left" vertical="center"/>
    </xf>
    <xf numFmtId="165" fontId="5" fillId="0" borderId="29" xfId="1" applyNumberFormat="1" applyFont="1" applyFill="1" applyBorder="1" applyAlignment="1">
      <alignment horizontal="center" vertical="center" wrapText="1"/>
    </xf>
    <xf numFmtId="165" fontId="7" fillId="0" borderId="39" xfId="1" applyNumberFormat="1" applyFont="1" applyFill="1" applyBorder="1" applyAlignment="1">
      <alignment horizontal="center" vertical="center" wrapText="1"/>
    </xf>
    <xf numFmtId="165" fontId="7" fillId="0" borderId="41" xfId="1" applyNumberFormat="1" applyFont="1" applyFill="1" applyBorder="1" applyAlignment="1">
      <alignment horizontal="center" vertical="center" wrapText="1"/>
    </xf>
    <xf numFmtId="0" fontId="7" fillId="0" borderId="42" xfId="1" applyFont="1" applyFill="1" applyBorder="1" applyAlignment="1">
      <alignment horizontal="left" vertical="center" wrapText="1"/>
    </xf>
    <xf numFmtId="0" fontId="7" fillId="0" borderId="43" xfId="1" applyFont="1" applyFill="1" applyBorder="1" applyAlignment="1">
      <alignment horizontal="left" vertical="center" wrapText="1"/>
    </xf>
    <xf numFmtId="0" fontId="7" fillId="0" borderId="0" xfId="1" applyFont="1" applyFill="1" applyBorder="1" applyAlignment="1">
      <alignment horizontal="left" vertical="center" wrapText="1"/>
    </xf>
    <xf numFmtId="0" fontId="12" fillId="3" borderId="20" xfId="1" applyFont="1" applyFill="1" applyBorder="1" applyAlignment="1">
      <alignment horizontal="left" vertical="center"/>
    </xf>
    <xf numFmtId="0" fontId="12" fillId="3" borderId="21" xfId="1" applyFont="1" applyFill="1" applyBorder="1" applyAlignment="1">
      <alignment horizontal="left" vertical="center"/>
    </xf>
    <xf numFmtId="0" fontId="12" fillId="3" borderId="22" xfId="1" applyFont="1" applyFill="1" applyBorder="1" applyAlignment="1">
      <alignment horizontal="left" vertical="center"/>
    </xf>
    <xf numFmtId="164" fontId="5" fillId="0" borderId="51" xfId="1" quotePrefix="1" applyNumberFormat="1" applyFont="1" applyFill="1" applyBorder="1" applyAlignment="1">
      <alignment horizontal="center" vertical="center"/>
    </xf>
    <xf numFmtId="164" fontId="5" fillId="0" borderId="52" xfId="1" quotePrefix="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5" fontId="15" fillId="0" borderId="29" xfId="1" applyNumberFormat="1" applyFont="1" applyFill="1" applyBorder="1" applyAlignment="1">
      <alignment horizontal="center" vertical="center" wrapText="1"/>
    </xf>
    <xf numFmtId="165" fontId="15" fillId="0" borderId="32" xfId="1" applyNumberFormat="1" applyFont="1" applyFill="1" applyBorder="1" applyAlignment="1">
      <alignment horizontal="center" vertical="center" wrapText="1"/>
    </xf>
    <xf numFmtId="164" fontId="5" fillId="2" borderId="29" xfId="1" applyNumberFormat="1" applyFont="1" applyFill="1" applyBorder="1" applyAlignment="1">
      <alignment horizontal="center" vertical="center"/>
    </xf>
    <xf numFmtId="165" fontId="7" fillId="0" borderId="40" xfId="1" applyNumberFormat="1" applyFont="1" applyFill="1" applyBorder="1" applyAlignment="1">
      <alignment horizontal="center" vertical="center" wrapText="1"/>
    </xf>
    <xf numFmtId="164" fontId="7" fillId="0" borderId="40"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49" fontId="7" fillId="0" borderId="45" xfId="1" applyNumberFormat="1" applyFont="1" applyFill="1" applyBorder="1" applyAlignment="1">
      <alignment horizontal="left" vertical="center" wrapText="1"/>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January_G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August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Website"/>
    </sheetNames>
    <sheetDataSet>
      <sheetData sheetId="0">
        <row r="95">
          <cell r="G95">
            <v>1301050</v>
          </cell>
          <cell r="H95">
            <v>92700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19"/>
    </sheetNames>
    <sheetDataSet>
      <sheetData sheetId="0">
        <row r="93">
          <cell r="I93">
            <v>371968.01631000004</v>
          </cell>
          <cell r="J93">
            <v>82520.327050000007</v>
          </cell>
          <cell r="K93">
            <v>4375752.6603850005</v>
          </cell>
          <cell r="L93">
            <v>557441.53403139999</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99"/>
  <sheetViews>
    <sheetView showGridLines="0" tabSelected="1" view="pageBreakPreview" topLeftCell="A19" zoomScale="60" zoomScaleNormal="60" zoomScalePageLayoutView="40" workbookViewId="0">
      <selection activeCell="A91" sqref="A91"/>
    </sheetView>
  </sheetViews>
  <sheetFormatPr defaultColWidth="9.33203125" defaultRowHeight="16.5"/>
  <cols>
    <col min="1" max="1" width="64" style="4" customWidth="1"/>
    <col min="2" max="2" width="12.77734375" style="5" bestFit="1" customWidth="1"/>
    <col min="3" max="3" width="12.6640625" style="2" bestFit="1" customWidth="1"/>
    <col min="4" max="4" width="10.5546875" style="4" customWidth="1"/>
    <col min="5" max="5" width="13.109375" style="4" bestFit="1" customWidth="1"/>
    <col min="6" max="6" width="9.77734375" style="4" customWidth="1"/>
    <col min="7" max="7" width="17.6640625" style="1" customWidth="1"/>
    <col min="8" max="8" width="14.109375" style="4" customWidth="1"/>
    <col min="9" max="9" width="15.44140625" style="4" customWidth="1"/>
    <col min="10" max="10" width="13.21875" style="4" customWidth="1"/>
    <col min="11" max="11" width="17" style="4" customWidth="1"/>
    <col min="12" max="12" width="16.109375" style="4" customWidth="1"/>
    <col min="13" max="13" width="114.6640625" style="13" customWidth="1"/>
    <col min="14" max="14" width="9.33203125" style="1" customWidth="1"/>
    <col min="15" max="18" width="9.33203125" style="1"/>
    <col min="19" max="19" width="9.33203125" style="1" customWidth="1"/>
    <col min="20" max="16384" width="9.33203125" style="1"/>
  </cols>
  <sheetData>
    <row r="1" spans="1:13" ht="6" customHeight="1">
      <c r="A1" s="1"/>
      <c r="B1" s="2"/>
      <c r="D1" s="1"/>
      <c r="E1" s="1"/>
      <c r="F1" s="1"/>
      <c r="H1" s="1"/>
      <c r="I1" s="1"/>
      <c r="J1" s="1"/>
      <c r="K1" s="1"/>
      <c r="L1" s="1"/>
    </row>
    <row r="2" spans="1:13" s="6" customFormat="1" ht="29.45" customHeight="1">
      <c r="A2" s="15" t="s">
        <v>114</v>
      </c>
      <c r="B2" s="16"/>
      <c r="C2" s="16"/>
      <c r="D2" s="15"/>
      <c r="E2" s="15"/>
      <c r="F2" s="15"/>
      <c r="G2" s="15"/>
      <c r="H2" s="15"/>
      <c r="I2" s="15"/>
      <c r="J2" s="15"/>
      <c r="K2" s="17"/>
      <c r="L2" s="15"/>
      <c r="M2" s="81"/>
    </row>
    <row r="3" spans="1:13" ht="27" customHeight="1" thickBot="1">
      <c r="A3" s="18" t="s">
        <v>163</v>
      </c>
      <c r="B3" s="19"/>
      <c r="C3" s="19"/>
      <c r="D3" s="20"/>
      <c r="E3" s="20"/>
      <c r="F3" s="20"/>
      <c r="G3" s="20"/>
      <c r="H3" s="20"/>
      <c r="I3" s="20"/>
      <c r="J3" s="20"/>
      <c r="K3" s="20"/>
      <c r="L3" s="20"/>
    </row>
    <row r="4" spans="1:13" s="6" customFormat="1" ht="54.6" customHeight="1">
      <c r="A4" s="196" t="s">
        <v>9</v>
      </c>
      <c r="B4" s="193" t="s">
        <v>69</v>
      </c>
      <c r="C4" s="193" t="s">
        <v>30</v>
      </c>
      <c r="D4" s="186" t="s">
        <v>29</v>
      </c>
      <c r="E4" s="186"/>
      <c r="F4" s="195"/>
      <c r="G4" s="185" t="s">
        <v>124</v>
      </c>
      <c r="H4" s="186"/>
      <c r="I4" s="185" t="s">
        <v>125</v>
      </c>
      <c r="J4" s="186"/>
      <c r="K4" s="184" t="s">
        <v>57</v>
      </c>
      <c r="L4" s="185"/>
      <c r="M4" s="179" t="s">
        <v>31</v>
      </c>
    </row>
    <row r="5" spans="1:13" s="6" customFormat="1" ht="50.45" customHeight="1" thickBot="1">
      <c r="A5" s="197"/>
      <c r="B5" s="194"/>
      <c r="C5" s="194"/>
      <c r="D5" s="198" t="s">
        <v>19</v>
      </c>
      <c r="E5" s="199"/>
      <c r="F5" s="200"/>
      <c r="G5" s="182" t="s">
        <v>6</v>
      </c>
      <c r="H5" s="183"/>
      <c r="I5" s="182" t="s">
        <v>6</v>
      </c>
      <c r="J5" s="183"/>
      <c r="K5" s="182" t="s">
        <v>6</v>
      </c>
      <c r="L5" s="183"/>
      <c r="M5" s="180"/>
    </row>
    <row r="6" spans="1:13" ht="28.5" customHeight="1" thickBot="1">
      <c r="A6" s="21"/>
      <c r="B6" s="22"/>
      <c r="C6" s="22"/>
      <c r="D6" s="23" t="s">
        <v>10</v>
      </c>
      <c r="E6" s="23" t="s">
        <v>11</v>
      </c>
      <c r="F6" s="23" t="s">
        <v>12</v>
      </c>
      <c r="G6" s="23" t="s">
        <v>11</v>
      </c>
      <c r="H6" s="23" t="s">
        <v>12</v>
      </c>
      <c r="I6" s="23" t="s">
        <v>11</v>
      </c>
      <c r="J6" s="23" t="s">
        <v>12</v>
      </c>
      <c r="K6" s="23" t="s">
        <v>11</v>
      </c>
      <c r="L6" s="23" t="s">
        <v>12</v>
      </c>
      <c r="M6" s="82"/>
    </row>
    <row r="7" spans="1:13" s="7" customFormat="1" ht="30" customHeight="1" thickBot="1">
      <c r="A7" s="201" t="s">
        <v>24</v>
      </c>
      <c r="B7" s="202"/>
      <c r="C7" s="202"/>
      <c r="D7" s="202"/>
      <c r="E7" s="202"/>
      <c r="F7" s="203"/>
      <c r="G7" s="24">
        <f t="shared" ref="G7:L7" si="0">SUM(G8:G35)</f>
        <v>680550</v>
      </c>
      <c r="H7" s="24">
        <f t="shared" si="0"/>
        <v>8050</v>
      </c>
      <c r="I7" s="24">
        <f>SUM(I8:I35)</f>
        <v>140307.49498999998</v>
      </c>
      <c r="J7" s="24">
        <f t="shared" si="0"/>
        <v>2913.93046</v>
      </c>
      <c r="K7" s="24">
        <f t="shared" si="0"/>
        <v>2142806.4051800002</v>
      </c>
      <c r="L7" s="24">
        <f t="shared" si="0"/>
        <v>33909.779800000004</v>
      </c>
      <c r="M7" s="83"/>
    </row>
    <row r="8" spans="1:13" ht="48" customHeight="1">
      <c r="A8" s="191" t="s">
        <v>54</v>
      </c>
      <c r="B8" s="204">
        <v>41431</v>
      </c>
      <c r="C8" s="216">
        <v>43524</v>
      </c>
      <c r="D8" s="25" t="s">
        <v>0</v>
      </c>
      <c r="E8" s="25">
        <v>24500</v>
      </c>
      <c r="F8" s="172"/>
      <c r="G8" s="172">
        <v>4000</v>
      </c>
      <c r="H8" s="177"/>
      <c r="I8" s="172">
        <v>10074.27657</v>
      </c>
      <c r="J8" s="218"/>
      <c r="K8" s="172">
        <f>148859.28356+I8</f>
        <v>158933.56013</v>
      </c>
      <c r="L8" s="172"/>
      <c r="M8" s="181" t="s">
        <v>134</v>
      </c>
    </row>
    <row r="9" spans="1:13" ht="77.25" customHeight="1">
      <c r="A9" s="152"/>
      <c r="B9" s="154"/>
      <c r="C9" s="217"/>
      <c r="D9" s="26" t="s">
        <v>1</v>
      </c>
      <c r="E9" s="26">
        <v>38000</v>
      </c>
      <c r="F9" s="155"/>
      <c r="G9" s="155"/>
      <c r="H9" s="156"/>
      <c r="I9" s="155"/>
      <c r="J9" s="160"/>
      <c r="K9" s="155"/>
      <c r="L9" s="155"/>
      <c r="M9" s="151"/>
    </row>
    <row r="10" spans="1:13" s="9" customFormat="1" ht="46.9" customHeight="1">
      <c r="A10" s="152" t="s">
        <v>46</v>
      </c>
      <c r="B10" s="154">
        <v>42410</v>
      </c>
      <c r="C10" s="154">
        <v>44196</v>
      </c>
      <c r="D10" s="26" t="s">
        <v>1</v>
      </c>
      <c r="E10" s="26">
        <v>140000</v>
      </c>
      <c r="F10" s="26"/>
      <c r="G10" s="155">
        <v>55225</v>
      </c>
      <c r="H10" s="156"/>
      <c r="I10" s="155">
        <v>20805.64733</v>
      </c>
      <c r="J10" s="160"/>
      <c r="K10" s="155">
        <f>102576.23686+I10</f>
        <v>123381.88419000001</v>
      </c>
      <c r="L10" s="155"/>
      <c r="M10" s="151" t="s">
        <v>164</v>
      </c>
    </row>
    <row r="11" spans="1:13" s="9" customFormat="1" ht="57" customHeight="1">
      <c r="A11" s="152"/>
      <c r="B11" s="154"/>
      <c r="C11" s="154"/>
      <c r="D11" s="26" t="s">
        <v>4</v>
      </c>
      <c r="E11" s="26">
        <v>49450</v>
      </c>
      <c r="F11" s="26"/>
      <c r="G11" s="155"/>
      <c r="H11" s="156"/>
      <c r="I11" s="155"/>
      <c r="J11" s="160"/>
      <c r="K11" s="155"/>
      <c r="L11" s="155"/>
      <c r="M11" s="151"/>
    </row>
    <row r="12" spans="1:13" ht="33" customHeight="1">
      <c r="A12" s="152" t="s">
        <v>56</v>
      </c>
      <c r="B12" s="154">
        <v>40115</v>
      </c>
      <c r="C12" s="154">
        <v>43737</v>
      </c>
      <c r="D12" s="26" t="s">
        <v>0</v>
      </c>
      <c r="E12" s="26">
        <v>75892</v>
      </c>
      <c r="F12" s="155"/>
      <c r="G12" s="155">
        <v>4000</v>
      </c>
      <c r="H12" s="156"/>
      <c r="I12" s="155">
        <v>10443.37234</v>
      </c>
      <c r="J12" s="155"/>
      <c r="K12" s="155">
        <f>372829.86217+I12</f>
        <v>383273.23450999998</v>
      </c>
      <c r="L12" s="155"/>
      <c r="M12" s="151" t="s">
        <v>113</v>
      </c>
    </row>
    <row r="13" spans="1:13" ht="23.45" customHeight="1">
      <c r="A13" s="152"/>
      <c r="B13" s="154"/>
      <c r="C13" s="154"/>
      <c r="D13" s="26" t="s">
        <v>2</v>
      </c>
      <c r="E13" s="26">
        <v>140000</v>
      </c>
      <c r="F13" s="155"/>
      <c r="G13" s="155"/>
      <c r="H13" s="156"/>
      <c r="I13" s="155"/>
      <c r="J13" s="155"/>
      <c r="K13" s="155"/>
      <c r="L13" s="155"/>
      <c r="M13" s="151"/>
    </row>
    <row r="14" spans="1:13" s="9" customFormat="1" ht="24" customHeight="1">
      <c r="A14" s="167" t="s">
        <v>55</v>
      </c>
      <c r="B14" s="205" t="s">
        <v>71</v>
      </c>
      <c r="C14" s="205" t="s">
        <v>72</v>
      </c>
      <c r="D14" s="49" t="s">
        <v>4</v>
      </c>
      <c r="E14" s="49">
        <v>108190</v>
      </c>
      <c r="F14" s="164"/>
      <c r="G14" s="164">
        <v>56000</v>
      </c>
      <c r="H14" s="170"/>
      <c r="I14" s="170">
        <v>23775.830310000001</v>
      </c>
      <c r="J14" s="164"/>
      <c r="K14" s="164">
        <f>61088.39635+I14</f>
        <v>84864.22666</v>
      </c>
      <c r="L14" s="164"/>
      <c r="M14" s="221" t="s">
        <v>115</v>
      </c>
    </row>
    <row r="15" spans="1:13" s="9" customFormat="1" ht="35.25" customHeight="1">
      <c r="A15" s="168"/>
      <c r="B15" s="206"/>
      <c r="C15" s="206"/>
      <c r="D15" s="49" t="s">
        <v>1</v>
      </c>
      <c r="E15" s="49">
        <v>114000</v>
      </c>
      <c r="F15" s="166"/>
      <c r="G15" s="166"/>
      <c r="H15" s="171"/>
      <c r="I15" s="171"/>
      <c r="J15" s="166"/>
      <c r="K15" s="166"/>
      <c r="L15" s="166"/>
      <c r="M15" s="222"/>
    </row>
    <row r="16" spans="1:13" ht="102" customHeight="1">
      <c r="A16" s="50" t="s">
        <v>20</v>
      </c>
      <c r="B16" s="14">
        <v>40163</v>
      </c>
      <c r="C16" s="28">
        <v>45101</v>
      </c>
      <c r="D16" s="26" t="s">
        <v>3</v>
      </c>
      <c r="E16" s="26">
        <v>22132000</v>
      </c>
      <c r="F16" s="26"/>
      <c r="G16" s="107">
        <v>1600</v>
      </c>
      <c r="H16" s="109"/>
      <c r="I16" s="142">
        <v>907.44282999999996</v>
      </c>
      <c r="J16" s="142"/>
      <c r="K16" s="142">
        <f>395400.05161+I16</f>
        <v>396307.49444000004</v>
      </c>
      <c r="L16" s="142"/>
      <c r="M16" s="80" t="s">
        <v>135</v>
      </c>
    </row>
    <row r="17" spans="1:18" ht="89.25" customHeight="1">
      <c r="A17" s="50" t="s">
        <v>37</v>
      </c>
      <c r="B17" s="14">
        <v>41040</v>
      </c>
      <c r="C17" s="14">
        <v>43797</v>
      </c>
      <c r="D17" s="26" t="s">
        <v>4</v>
      </c>
      <c r="E17" s="26">
        <v>200000</v>
      </c>
      <c r="F17" s="26">
        <v>20000</v>
      </c>
      <c r="G17" s="107">
        <v>52300</v>
      </c>
      <c r="H17" s="109">
        <v>8050</v>
      </c>
      <c r="I17" s="142">
        <v>21135.204249999999</v>
      </c>
      <c r="J17" s="142">
        <v>2913.93046</v>
      </c>
      <c r="K17" s="142">
        <f>299698.79166+I17</f>
        <v>320833.99591</v>
      </c>
      <c r="L17" s="142">
        <f>30995.84934+J17</f>
        <v>33909.779800000004</v>
      </c>
      <c r="M17" s="80" t="s">
        <v>148</v>
      </c>
    </row>
    <row r="18" spans="1:18" s="9" customFormat="1" ht="33.6" customHeight="1">
      <c r="A18" s="207" t="s">
        <v>85</v>
      </c>
      <c r="B18" s="73" t="s">
        <v>110</v>
      </c>
      <c r="C18" s="73" t="s">
        <v>111</v>
      </c>
      <c r="D18" s="74" t="s">
        <v>4</v>
      </c>
      <c r="E18" s="74">
        <v>16000</v>
      </c>
      <c r="F18" s="74"/>
      <c r="G18" s="164">
        <v>45600</v>
      </c>
      <c r="H18" s="170"/>
      <c r="I18" s="164"/>
      <c r="J18" s="164"/>
      <c r="K18" s="164">
        <f>125.74445+I18</f>
        <v>125.74445</v>
      </c>
      <c r="L18" s="164"/>
      <c r="M18" s="221" t="s">
        <v>165</v>
      </c>
    </row>
    <row r="19" spans="1:18" s="9" customFormat="1" ht="42" customHeight="1">
      <c r="A19" s="208"/>
      <c r="B19" s="73"/>
      <c r="C19" s="73"/>
      <c r="D19" s="74"/>
      <c r="E19" s="74"/>
      <c r="F19" s="74"/>
      <c r="G19" s="166"/>
      <c r="H19" s="171"/>
      <c r="I19" s="166"/>
      <c r="J19" s="166"/>
      <c r="K19" s="166"/>
      <c r="L19" s="166"/>
      <c r="M19" s="222"/>
    </row>
    <row r="20" spans="1:18" s="9" customFormat="1" ht="49.15" customHeight="1">
      <c r="A20" s="75" t="s">
        <v>84</v>
      </c>
      <c r="B20" s="95">
        <v>43378</v>
      </c>
      <c r="C20" s="95">
        <v>45657</v>
      </c>
      <c r="D20" s="94" t="s">
        <v>4</v>
      </c>
      <c r="E20" s="94">
        <v>255.297</v>
      </c>
      <c r="F20" s="66"/>
      <c r="G20" s="107">
        <v>63550</v>
      </c>
      <c r="H20" s="66"/>
      <c r="I20" s="143">
        <v>2686.7626799999998</v>
      </c>
      <c r="J20" s="66"/>
      <c r="K20" s="142">
        <f>113756.3746+I20</f>
        <v>116443.13728</v>
      </c>
      <c r="L20" s="66"/>
      <c r="M20" s="80" t="s">
        <v>157</v>
      </c>
    </row>
    <row r="21" spans="1:18" s="9" customFormat="1" ht="62.25" customHeight="1">
      <c r="A21" s="75" t="s">
        <v>83</v>
      </c>
      <c r="B21" s="205">
        <v>42652</v>
      </c>
      <c r="C21" s="205">
        <v>44539</v>
      </c>
      <c r="D21" s="170" t="s">
        <v>4</v>
      </c>
      <c r="E21" s="170">
        <v>250</v>
      </c>
      <c r="F21" s="66"/>
      <c r="G21" s="107">
        <v>96850</v>
      </c>
      <c r="H21" s="66"/>
      <c r="I21" s="143">
        <v>133.21787</v>
      </c>
      <c r="J21" s="66"/>
      <c r="K21" s="142">
        <f>201682.00984+I21</f>
        <v>201815.22771000001</v>
      </c>
      <c r="L21" s="66"/>
      <c r="M21" s="80" t="s">
        <v>158</v>
      </c>
    </row>
    <row r="22" spans="1:18" s="9" customFormat="1" ht="66.75" customHeight="1">
      <c r="A22" s="75" t="s">
        <v>82</v>
      </c>
      <c r="B22" s="219"/>
      <c r="C22" s="219"/>
      <c r="D22" s="220"/>
      <c r="E22" s="220"/>
      <c r="F22" s="66"/>
      <c r="G22" s="107">
        <v>48850</v>
      </c>
      <c r="H22" s="66"/>
      <c r="I22" s="66"/>
      <c r="J22" s="66"/>
      <c r="K22" s="142"/>
      <c r="L22" s="66"/>
      <c r="M22" s="80" t="s">
        <v>166</v>
      </c>
    </row>
    <row r="23" spans="1:18" s="9" customFormat="1" ht="63.75" customHeight="1">
      <c r="A23" s="75" t="s">
        <v>151</v>
      </c>
      <c r="B23" s="206"/>
      <c r="C23" s="206"/>
      <c r="D23" s="171"/>
      <c r="E23" s="171"/>
      <c r="F23" s="66"/>
      <c r="G23" s="107">
        <v>48700</v>
      </c>
      <c r="H23" s="66"/>
      <c r="I23" s="142">
        <v>2415.16878</v>
      </c>
      <c r="J23" s="66"/>
      <c r="K23" s="142">
        <f>20357.40381+I23</f>
        <v>22772.57259</v>
      </c>
      <c r="L23" s="66"/>
      <c r="M23" s="80" t="s">
        <v>159</v>
      </c>
    </row>
    <row r="24" spans="1:18" s="9" customFormat="1" ht="71.25" customHeight="1">
      <c r="A24" s="75" t="s">
        <v>81</v>
      </c>
      <c r="B24" s="65"/>
      <c r="C24" s="65"/>
      <c r="D24" s="66"/>
      <c r="E24" s="66"/>
      <c r="F24" s="66"/>
      <c r="G24" s="93"/>
      <c r="H24" s="66"/>
      <c r="I24" s="66"/>
      <c r="J24" s="66"/>
      <c r="K24" s="93"/>
      <c r="L24" s="66"/>
      <c r="M24" s="80" t="s">
        <v>152</v>
      </c>
    </row>
    <row r="25" spans="1:18" s="9" customFormat="1" ht="48.75" customHeight="1">
      <c r="A25" s="75" t="s">
        <v>77</v>
      </c>
      <c r="B25" s="65"/>
      <c r="C25" s="65"/>
      <c r="D25" s="66"/>
      <c r="E25" s="66"/>
      <c r="F25" s="66"/>
      <c r="G25" s="93"/>
      <c r="H25" s="66"/>
      <c r="I25" s="66"/>
      <c r="J25" s="66"/>
      <c r="K25" s="93"/>
      <c r="L25" s="66"/>
      <c r="M25" s="80" t="s">
        <v>87</v>
      </c>
    </row>
    <row r="26" spans="1:18" s="9" customFormat="1" ht="83.25" customHeight="1">
      <c r="A26" s="75" t="s">
        <v>86</v>
      </c>
      <c r="B26" s="65"/>
      <c r="C26" s="65"/>
      <c r="D26" s="66"/>
      <c r="E26" s="66"/>
      <c r="F26" s="66"/>
      <c r="G26" s="107">
        <v>122275</v>
      </c>
      <c r="H26" s="66"/>
      <c r="I26" s="66"/>
      <c r="J26" s="66"/>
      <c r="K26" s="107"/>
      <c r="L26" s="66"/>
      <c r="M26" s="80" t="s">
        <v>167</v>
      </c>
    </row>
    <row r="27" spans="1:18" s="9" customFormat="1" ht="61.5" customHeight="1">
      <c r="A27" s="75" t="s">
        <v>78</v>
      </c>
      <c r="B27" s="65"/>
      <c r="C27" s="65"/>
      <c r="D27" s="66"/>
      <c r="E27" s="66"/>
      <c r="F27" s="66"/>
      <c r="G27" s="93"/>
      <c r="H27" s="66"/>
      <c r="I27" s="66"/>
      <c r="J27" s="66"/>
      <c r="K27" s="93"/>
      <c r="L27" s="66"/>
      <c r="M27" s="80" t="s">
        <v>160</v>
      </c>
    </row>
    <row r="28" spans="1:18" s="9" customFormat="1" ht="57.75" customHeight="1">
      <c r="A28" s="75" t="s">
        <v>80</v>
      </c>
      <c r="B28" s="65"/>
      <c r="C28" s="65"/>
      <c r="D28" s="66"/>
      <c r="E28" s="66"/>
      <c r="F28" s="66"/>
      <c r="G28" s="93"/>
      <c r="H28" s="66"/>
      <c r="I28" s="66"/>
      <c r="J28" s="66"/>
      <c r="K28" s="93"/>
      <c r="L28" s="66"/>
      <c r="M28" s="80" t="s">
        <v>136</v>
      </c>
    </row>
    <row r="29" spans="1:18" s="3" customFormat="1" ht="22.15" customHeight="1">
      <c r="A29" s="192" t="s">
        <v>13</v>
      </c>
      <c r="B29" s="169">
        <v>40990</v>
      </c>
      <c r="C29" s="169">
        <v>43646</v>
      </c>
      <c r="D29" s="72" t="s">
        <v>0</v>
      </c>
      <c r="E29" s="72">
        <v>25800</v>
      </c>
      <c r="F29" s="155"/>
      <c r="G29" s="155">
        <v>2300</v>
      </c>
      <c r="H29" s="156"/>
      <c r="I29" s="155">
        <v>1107.51674</v>
      </c>
      <c r="J29" s="160"/>
      <c r="K29" s="155">
        <f>126586.68242+I29</f>
        <v>127694.19916</v>
      </c>
      <c r="L29" s="155"/>
      <c r="M29" s="151" t="s">
        <v>116</v>
      </c>
      <c r="N29" s="1"/>
      <c r="O29" s="1"/>
      <c r="P29" s="1"/>
      <c r="Q29" s="1"/>
      <c r="R29" s="1"/>
    </row>
    <row r="30" spans="1:18" s="3" customFormat="1" ht="44.25" customHeight="1">
      <c r="A30" s="192"/>
      <c r="B30" s="169"/>
      <c r="C30" s="169"/>
      <c r="D30" s="72" t="s">
        <v>1</v>
      </c>
      <c r="E30" s="72">
        <v>30000</v>
      </c>
      <c r="F30" s="155"/>
      <c r="G30" s="155"/>
      <c r="H30" s="156"/>
      <c r="I30" s="155"/>
      <c r="J30" s="160"/>
      <c r="K30" s="155"/>
      <c r="L30" s="155"/>
      <c r="M30" s="151"/>
      <c r="N30" s="1"/>
      <c r="O30" s="1"/>
      <c r="P30" s="1"/>
      <c r="Q30" s="1"/>
      <c r="R30" s="1"/>
    </row>
    <row r="31" spans="1:18" s="3" customFormat="1" ht="66" customHeight="1">
      <c r="A31" s="60" t="s">
        <v>66</v>
      </c>
      <c r="B31" s="48">
        <v>41829</v>
      </c>
      <c r="C31" s="48">
        <v>44012</v>
      </c>
      <c r="D31" s="72" t="s">
        <v>1</v>
      </c>
      <c r="E31" s="72">
        <v>75000</v>
      </c>
      <c r="F31" s="26"/>
      <c r="G31" s="107">
        <v>32000</v>
      </c>
      <c r="H31" s="109"/>
      <c r="I31" s="142">
        <v>28710.90813</v>
      </c>
      <c r="J31" s="142"/>
      <c r="K31" s="142">
        <f>111232.66285+I31</f>
        <v>139943.57097999999</v>
      </c>
      <c r="L31" s="142"/>
      <c r="M31" s="80" t="s">
        <v>147</v>
      </c>
      <c r="N31" s="1"/>
      <c r="O31" s="1"/>
      <c r="P31" s="1"/>
      <c r="Q31" s="1"/>
      <c r="R31" s="1"/>
    </row>
    <row r="32" spans="1:18" s="3" customFormat="1" ht="98.25" customHeight="1">
      <c r="A32" s="60" t="s">
        <v>48</v>
      </c>
      <c r="B32" s="48">
        <v>42457</v>
      </c>
      <c r="C32" s="48">
        <v>44561</v>
      </c>
      <c r="D32" s="72" t="s">
        <v>1</v>
      </c>
      <c r="E32" s="72">
        <v>40000</v>
      </c>
      <c r="F32" s="26"/>
      <c r="G32" s="107">
        <v>20000</v>
      </c>
      <c r="H32" s="109"/>
      <c r="I32" s="142">
        <v>8145.9970700000003</v>
      </c>
      <c r="J32" s="142"/>
      <c r="K32" s="142">
        <f>31603.92074+I32</f>
        <v>39749.917809999999</v>
      </c>
      <c r="L32" s="142"/>
      <c r="M32" s="80" t="s">
        <v>161</v>
      </c>
      <c r="N32" s="1"/>
      <c r="O32" s="1"/>
      <c r="P32" s="1"/>
      <c r="Q32" s="1"/>
      <c r="R32" s="1"/>
    </row>
    <row r="33" spans="1:18" s="3" customFormat="1" ht="69.75" customHeight="1">
      <c r="A33" s="75" t="s">
        <v>79</v>
      </c>
      <c r="B33" s="48" t="s">
        <v>74</v>
      </c>
      <c r="C33" s="48" t="s">
        <v>137</v>
      </c>
      <c r="D33" s="72" t="s">
        <v>1</v>
      </c>
      <c r="E33" s="72">
        <v>80000</v>
      </c>
      <c r="F33" s="69"/>
      <c r="G33" s="109">
        <v>15400</v>
      </c>
      <c r="H33" s="109"/>
      <c r="I33" s="143">
        <v>9144.4717500000006</v>
      </c>
      <c r="J33" s="143"/>
      <c r="K33" s="142">
        <f>15769.12805+I33</f>
        <v>24913.5998</v>
      </c>
      <c r="L33" s="143"/>
      <c r="M33" s="80" t="s">
        <v>162</v>
      </c>
      <c r="N33" s="91"/>
      <c r="O33" s="1"/>
      <c r="P33" s="1"/>
      <c r="Q33" s="1"/>
      <c r="R33" s="1"/>
    </row>
    <row r="34" spans="1:18" s="3" customFormat="1" ht="66" customHeight="1">
      <c r="A34" s="56" t="s">
        <v>44</v>
      </c>
      <c r="B34" s="14">
        <v>42752</v>
      </c>
      <c r="C34" s="14">
        <v>44196</v>
      </c>
      <c r="D34" s="26" t="s">
        <v>43</v>
      </c>
      <c r="E34" s="26">
        <v>8000</v>
      </c>
      <c r="F34" s="26"/>
      <c r="G34" s="107">
        <v>9200</v>
      </c>
      <c r="H34" s="109"/>
      <c r="I34" s="142">
        <v>526.31737999999996</v>
      </c>
      <c r="J34" s="142"/>
      <c r="K34" s="142">
        <f>795.30622+I34</f>
        <v>1321.6235999999999</v>
      </c>
      <c r="L34" s="142"/>
      <c r="M34" s="80" t="s">
        <v>168</v>
      </c>
      <c r="N34" s="1"/>
      <c r="O34" s="1"/>
      <c r="P34" s="1"/>
      <c r="Q34" s="1"/>
      <c r="R34" s="1"/>
    </row>
    <row r="35" spans="1:18" s="3" customFormat="1" ht="72.75" customHeight="1" thickBot="1">
      <c r="A35" s="124" t="s">
        <v>45</v>
      </c>
      <c r="B35" s="125">
        <v>42734</v>
      </c>
      <c r="C35" s="125">
        <v>43830</v>
      </c>
      <c r="D35" s="126" t="s">
        <v>4</v>
      </c>
      <c r="E35" s="126">
        <v>6000</v>
      </c>
      <c r="F35" s="126"/>
      <c r="G35" s="126">
        <v>2700</v>
      </c>
      <c r="H35" s="127"/>
      <c r="I35" s="31">
        <v>295.36095999999998</v>
      </c>
      <c r="J35" s="31"/>
      <c r="K35" s="31">
        <f>137.055+I35</f>
        <v>432.41595999999998</v>
      </c>
      <c r="L35" s="31"/>
      <c r="M35" s="128" t="s">
        <v>154</v>
      </c>
      <c r="N35" s="1"/>
      <c r="O35" s="1"/>
      <c r="P35" s="1"/>
      <c r="Q35" s="1"/>
      <c r="R35" s="1"/>
    </row>
    <row r="36" spans="1:18" s="7" customFormat="1" ht="30" customHeight="1" thickBot="1">
      <c r="A36" s="157" t="s">
        <v>7</v>
      </c>
      <c r="B36" s="158"/>
      <c r="C36" s="158"/>
      <c r="D36" s="158"/>
      <c r="E36" s="158"/>
      <c r="F36" s="159"/>
      <c r="G36" s="38">
        <f>SUM(G37:G53)</f>
        <v>211480</v>
      </c>
      <c r="H36" s="38">
        <f t="shared" ref="H36:L36" si="1">SUM(H37:H53)</f>
        <v>7100</v>
      </c>
      <c r="I36" s="38">
        <f t="shared" si="1"/>
        <v>82219.516290000014</v>
      </c>
      <c r="J36" s="38">
        <f t="shared" si="1"/>
        <v>3898.43388</v>
      </c>
      <c r="K36" s="38">
        <f t="shared" si="1"/>
        <v>852808.59944999986</v>
      </c>
      <c r="L36" s="38">
        <f t="shared" si="1"/>
        <v>18787.45981</v>
      </c>
      <c r="M36" s="87"/>
    </row>
    <row r="37" spans="1:18" ht="67.5" customHeight="1">
      <c r="A37" s="55" t="s">
        <v>22</v>
      </c>
      <c r="B37" s="57">
        <v>41869</v>
      </c>
      <c r="C37" s="57">
        <v>44316</v>
      </c>
      <c r="D37" s="54" t="s">
        <v>1</v>
      </c>
      <c r="E37" s="54">
        <v>30000</v>
      </c>
      <c r="F37" s="54">
        <v>5000</v>
      </c>
      <c r="G37" s="32">
        <v>8800</v>
      </c>
      <c r="H37" s="67">
        <v>3600</v>
      </c>
      <c r="I37" s="32">
        <v>5324.5348599999998</v>
      </c>
      <c r="J37" s="67">
        <v>2659.1562800000002</v>
      </c>
      <c r="K37" s="32">
        <f>42550.40846+I37</f>
        <v>47874.943319999998</v>
      </c>
      <c r="L37" s="32">
        <f>4758.74569+J37</f>
        <v>7417.9019699999999</v>
      </c>
      <c r="M37" s="85" t="s">
        <v>90</v>
      </c>
    </row>
    <row r="38" spans="1:18" ht="61.5" customHeight="1">
      <c r="A38" s="56" t="s">
        <v>14</v>
      </c>
      <c r="B38" s="51">
        <v>40227</v>
      </c>
      <c r="C38" s="28">
        <v>44196</v>
      </c>
      <c r="D38" s="52" t="s">
        <v>4</v>
      </c>
      <c r="E38" s="52">
        <v>3000</v>
      </c>
      <c r="F38" s="52"/>
      <c r="G38" s="135">
        <v>3000</v>
      </c>
      <c r="H38" s="116"/>
      <c r="I38" s="148">
        <v>1132.24335</v>
      </c>
      <c r="J38" s="148"/>
      <c r="K38" s="148">
        <f>74.757+I38</f>
        <v>1207.00035</v>
      </c>
      <c r="L38" s="148"/>
      <c r="M38" s="80" t="s">
        <v>91</v>
      </c>
    </row>
    <row r="39" spans="1:18" ht="84.75" customHeight="1">
      <c r="A39" s="56" t="s">
        <v>38</v>
      </c>
      <c r="B39" s="51">
        <v>41621</v>
      </c>
      <c r="C39" s="51">
        <v>44926</v>
      </c>
      <c r="D39" s="52" t="s">
        <v>4</v>
      </c>
      <c r="E39" s="52">
        <v>20000</v>
      </c>
      <c r="F39" s="52">
        <v>2000</v>
      </c>
      <c r="G39" s="135">
        <v>15000</v>
      </c>
      <c r="H39" s="116">
        <v>1000</v>
      </c>
      <c r="I39" s="148"/>
      <c r="J39" s="148">
        <v>878.68308999999999</v>
      </c>
      <c r="K39" s="33">
        <f>7439.85874+I39</f>
        <v>7439.8587399999997</v>
      </c>
      <c r="L39" s="148">
        <f>4849.88963+J39</f>
        <v>5728.5727200000001</v>
      </c>
      <c r="M39" s="80" t="s">
        <v>138</v>
      </c>
    </row>
    <row r="40" spans="1:18" ht="59.45" customHeight="1">
      <c r="A40" s="215" t="s">
        <v>67</v>
      </c>
      <c r="B40" s="154">
        <v>40350</v>
      </c>
      <c r="C40" s="154">
        <v>44030</v>
      </c>
      <c r="D40" s="52" t="s">
        <v>0</v>
      </c>
      <c r="E40" s="52">
        <f>57986+10639</f>
        <v>68625</v>
      </c>
      <c r="F40" s="155"/>
      <c r="G40" s="188">
        <v>59650</v>
      </c>
      <c r="H40" s="190"/>
      <c r="I40" s="187">
        <v>30280.534090000001</v>
      </c>
      <c r="J40" s="187"/>
      <c r="K40" s="213">
        <f>358756.19854+I40</f>
        <v>389036.73262999998</v>
      </c>
      <c r="L40" s="187"/>
      <c r="M40" s="151" t="s">
        <v>139</v>
      </c>
    </row>
    <row r="41" spans="1:18" ht="135.75" customHeight="1">
      <c r="A41" s="215"/>
      <c r="B41" s="154"/>
      <c r="C41" s="154"/>
      <c r="D41" s="52" t="s">
        <v>1</v>
      </c>
      <c r="E41" s="52">
        <f>48886+73000+20000</f>
        <v>141886</v>
      </c>
      <c r="F41" s="155"/>
      <c r="G41" s="189"/>
      <c r="H41" s="190"/>
      <c r="I41" s="187"/>
      <c r="J41" s="187"/>
      <c r="K41" s="214"/>
      <c r="L41" s="187"/>
      <c r="M41" s="151"/>
    </row>
    <row r="42" spans="1:18" ht="99" customHeight="1">
      <c r="A42" s="58" t="s">
        <v>49</v>
      </c>
      <c r="B42" s="51">
        <v>40996</v>
      </c>
      <c r="C42" s="51">
        <v>43403</v>
      </c>
      <c r="D42" s="52" t="s">
        <v>1</v>
      </c>
      <c r="E42" s="52">
        <v>60000</v>
      </c>
      <c r="F42" s="52"/>
      <c r="G42" s="135">
        <v>30</v>
      </c>
      <c r="H42" s="116"/>
      <c r="I42" s="135"/>
      <c r="J42" s="34"/>
      <c r="K42" s="135">
        <f>102881.35442+I42</f>
        <v>102881.35442</v>
      </c>
      <c r="L42" s="135"/>
      <c r="M42" s="80" t="s">
        <v>92</v>
      </c>
    </row>
    <row r="43" spans="1:18" ht="27.6" customHeight="1">
      <c r="A43" s="215" t="s">
        <v>15</v>
      </c>
      <c r="B43" s="154">
        <v>41222</v>
      </c>
      <c r="C43" s="154">
        <v>43830</v>
      </c>
      <c r="D43" s="52" t="s">
        <v>0</v>
      </c>
      <c r="E43" s="52">
        <v>19800</v>
      </c>
      <c r="F43" s="52"/>
      <c r="G43" s="187">
        <v>8500</v>
      </c>
      <c r="H43" s="190"/>
      <c r="I43" s="187">
        <v>10118.283520000001</v>
      </c>
      <c r="J43" s="187"/>
      <c r="K43" s="187">
        <f>57667.72863+I43</f>
        <v>67786.012149999995</v>
      </c>
      <c r="L43" s="187"/>
      <c r="M43" s="151" t="s">
        <v>109</v>
      </c>
    </row>
    <row r="44" spans="1:18" ht="51" customHeight="1">
      <c r="A44" s="215"/>
      <c r="B44" s="154"/>
      <c r="C44" s="154"/>
      <c r="D44" s="52" t="s">
        <v>1</v>
      </c>
      <c r="E44" s="52">
        <v>9000</v>
      </c>
      <c r="F44" s="52"/>
      <c r="G44" s="187"/>
      <c r="H44" s="190"/>
      <c r="I44" s="187"/>
      <c r="J44" s="187"/>
      <c r="K44" s="187"/>
      <c r="L44" s="187"/>
      <c r="M44" s="151"/>
    </row>
    <row r="45" spans="1:18" ht="75" customHeight="1">
      <c r="A45" s="58" t="s">
        <v>33</v>
      </c>
      <c r="B45" s="51">
        <v>42223</v>
      </c>
      <c r="C45" s="51">
        <v>43830</v>
      </c>
      <c r="D45" s="52" t="s">
        <v>1</v>
      </c>
      <c r="E45" s="52">
        <v>60000</v>
      </c>
      <c r="F45" s="52"/>
      <c r="G45" s="135">
        <v>24000</v>
      </c>
      <c r="H45" s="116"/>
      <c r="I45" s="148">
        <v>8187.0641800000003</v>
      </c>
      <c r="J45" s="148"/>
      <c r="K45" s="148">
        <f>31101.72865+I45</f>
        <v>39288.792829999999</v>
      </c>
      <c r="L45" s="148"/>
      <c r="M45" s="80" t="s">
        <v>93</v>
      </c>
    </row>
    <row r="46" spans="1:18" ht="37.15" customHeight="1">
      <c r="A46" s="56" t="s">
        <v>34</v>
      </c>
      <c r="B46" s="51">
        <v>42136</v>
      </c>
      <c r="C46" s="51">
        <v>43963</v>
      </c>
      <c r="D46" s="52" t="s">
        <v>4</v>
      </c>
      <c r="E46" s="52">
        <v>4300</v>
      </c>
      <c r="F46" s="52">
        <v>1843</v>
      </c>
      <c r="G46" s="135">
        <v>1000</v>
      </c>
      <c r="H46" s="116"/>
      <c r="I46" s="148">
        <v>474.85966999999999</v>
      </c>
      <c r="J46" s="148"/>
      <c r="K46" s="148">
        <f>119.7894+I46</f>
        <v>594.64906999999994</v>
      </c>
      <c r="L46" s="148"/>
      <c r="M46" s="80" t="s">
        <v>94</v>
      </c>
    </row>
    <row r="47" spans="1:18" ht="68.25" customHeight="1">
      <c r="A47" s="56" t="s">
        <v>58</v>
      </c>
      <c r="B47" s="51">
        <v>42563</v>
      </c>
      <c r="C47" s="51">
        <v>43766</v>
      </c>
      <c r="D47" s="52" t="s">
        <v>4</v>
      </c>
      <c r="E47" s="52">
        <v>10000</v>
      </c>
      <c r="F47" s="52">
        <v>2000</v>
      </c>
      <c r="G47" s="135"/>
      <c r="H47" s="116">
        <v>500</v>
      </c>
      <c r="I47" s="148"/>
      <c r="J47" s="148">
        <v>360.59451000000001</v>
      </c>
      <c r="K47" s="148">
        <f>12332.76308+I47</f>
        <v>12332.763080000001</v>
      </c>
      <c r="L47" s="35">
        <f>5280.39061+J47</f>
        <v>5640.9851200000003</v>
      </c>
      <c r="M47" s="80" t="s">
        <v>95</v>
      </c>
    </row>
    <row r="48" spans="1:18" s="3" customFormat="1" ht="64.5" customHeight="1">
      <c r="A48" s="115" t="s">
        <v>126</v>
      </c>
      <c r="B48" s="119">
        <v>43285</v>
      </c>
      <c r="C48" s="120">
        <v>44016</v>
      </c>
      <c r="D48" s="114" t="s">
        <v>4</v>
      </c>
      <c r="E48" s="114">
        <v>2830</v>
      </c>
      <c r="F48" s="114">
        <v>1870</v>
      </c>
      <c r="G48" s="135">
        <v>3000</v>
      </c>
      <c r="H48" s="116">
        <v>1000</v>
      </c>
      <c r="I48" s="149"/>
      <c r="J48" s="138"/>
      <c r="K48" s="149"/>
      <c r="L48" s="149"/>
      <c r="M48" s="80" t="s">
        <v>156</v>
      </c>
      <c r="N48" s="1"/>
      <c r="O48" s="1"/>
      <c r="P48" s="1"/>
      <c r="Q48" s="1"/>
      <c r="R48" s="1"/>
    </row>
    <row r="49" spans="1:18" s="3" customFormat="1" ht="74.25" customHeight="1">
      <c r="A49" s="56" t="s">
        <v>41</v>
      </c>
      <c r="B49" s="51">
        <v>42411</v>
      </c>
      <c r="C49" s="51">
        <v>44238</v>
      </c>
      <c r="D49" s="52" t="s">
        <v>4</v>
      </c>
      <c r="E49" s="52">
        <v>100000</v>
      </c>
      <c r="F49" s="52"/>
      <c r="G49" s="135">
        <v>59500</v>
      </c>
      <c r="H49" s="116"/>
      <c r="I49" s="148">
        <v>26025.888449999999</v>
      </c>
      <c r="J49" s="148"/>
      <c r="K49" s="148">
        <f>127652.683+I49</f>
        <v>153678.57144999999</v>
      </c>
      <c r="L49" s="148"/>
      <c r="M49" s="80" t="s">
        <v>96</v>
      </c>
      <c r="N49" s="1"/>
      <c r="O49" s="1"/>
      <c r="P49" s="1"/>
      <c r="Q49" s="1"/>
      <c r="R49" s="1"/>
    </row>
    <row r="50" spans="1:18" s="3" customFormat="1" ht="60" customHeight="1">
      <c r="A50" s="113" t="s">
        <v>61</v>
      </c>
      <c r="B50" s="111">
        <v>42713</v>
      </c>
      <c r="C50" s="111">
        <v>44561</v>
      </c>
      <c r="D50" s="107" t="s">
        <v>4</v>
      </c>
      <c r="E50" s="107">
        <v>100000</v>
      </c>
      <c r="F50" s="107"/>
      <c r="G50" s="135">
        <v>8000</v>
      </c>
      <c r="H50" s="116"/>
      <c r="I50" s="148"/>
      <c r="J50" s="148"/>
      <c r="K50" s="148"/>
      <c r="L50" s="148"/>
      <c r="M50" s="118" t="s">
        <v>140</v>
      </c>
      <c r="N50" s="1"/>
      <c r="O50" s="1"/>
      <c r="P50" s="1"/>
      <c r="Q50" s="1"/>
      <c r="R50" s="1"/>
    </row>
    <row r="51" spans="1:18" s="3" customFormat="1" ht="97.5" customHeight="1">
      <c r="A51" s="132" t="s">
        <v>145</v>
      </c>
      <c r="B51" s="130">
        <v>41884</v>
      </c>
      <c r="C51" s="130">
        <v>43830</v>
      </c>
      <c r="D51" s="129" t="s">
        <v>4</v>
      </c>
      <c r="E51" s="129">
        <v>13200</v>
      </c>
      <c r="F51" s="129"/>
      <c r="G51" s="135"/>
      <c r="H51" s="131"/>
      <c r="I51" s="148">
        <v>180.53817000000001</v>
      </c>
      <c r="J51" s="34"/>
      <c r="K51" s="148">
        <f>30507.38324+I51</f>
        <v>30687.921409999999</v>
      </c>
      <c r="L51" s="148"/>
      <c r="M51" s="136" t="s">
        <v>146</v>
      </c>
      <c r="N51" s="1"/>
      <c r="O51" s="1"/>
      <c r="P51" s="1"/>
      <c r="Q51" s="1"/>
      <c r="R51" s="1"/>
    </row>
    <row r="52" spans="1:18" s="3" customFormat="1" ht="64.5" customHeight="1">
      <c r="A52" s="113" t="s">
        <v>127</v>
      </c>
      <c r="B52" s="119">
        <v>43035</v>
      </c>
      <c r="C52" s="119">
        <v>44925</v>
      </c>
      <c r="D52" s="114" t="s">
        <v>4</v>
      </c>
      <c r="E52" s="114">
        <v>30000</v>
      </c>
      <c r="F52" s="114">
        <v>2000</v>
      </c>
      <c r="G52" s="135">
        <v>1000</v>
      </c>
      <c r="H52" s="116">
        <v>1000</v>
      </c>
      <c r="I52" s="148"/>
      <c r="J52" s="148"/>
      <c r="K52" s="148"/>
      <c r="L52" s="148"/>
      <c r="M52" s="118" t="s">
        <v>149</v>
      </c>
      <c r="N52" s="1"/>
      <c r="O52" s="1"/>
      <c r="P52" s="1"/>
      <c r="Q52" s="1"/>
      <c r="R52" s="1"/>
    </row>
    <row r="53" spans="1:18" s="3" customFormat="1" ht="76.5" customHeight="1" thickBot="1">
      <c r="A53" s="113" t="s">
        <v>128</v>
      </c>
      <c r="B53" s="121">
        <v>27.112017999999999</v>
      </c>
      <c r="C53" s="121">
        <v>27.112020999999999</v>
      </c>
      <c r="D53" s="62" t="s">
        <v>4</v>
      </c>
      <c r="E53" s="62">
        <v>15000</v>
      </c>
      <c r="F53" s="62"/>
      <c r="G53" s="62">
        <v>20000</v>
      </c>
      <c r="H53" s="70"/>
      <c r="I53" s="62">
        <v>495.57</v>
      </c>
      <c r="J53" s="62"/>
      <c r="K53" s="63"/>
      <c r="L53" s="62"/>
      <c r="M53" s="118" t="s">
        <v>144</v>
      </c>
      <c r="N53" s="1"/>
      <c r="O53" s="1"/>
      <c r="P53" s="1"/>
      <c r="Q53" s="1"/>
      <c r="R53" s="1"/>
    </row>
    <row r="54" spans="1:18" s="7" customFormat="1" ht="23.25" customHeight="1" thickBot="1">
      <c r="A54" s="210" t="s">
        <v>8</v>
      </c>
      <c r="B54" s="211"/>
      <c r="C54" s="211"/>
      <c r="D54" s="211"/>
      <c r="E54" s="211"/>
      <c r="F54" s="212"/>
      <c r="G54" s="36">
        <f>SUM(G55:G62)</f>
        <v>156290</v>
      </c>
      <c r="H54" s="36">
        <f t="shared" ref="H54:L54" si="2">SUM(H55:H62)</f>
        <v>11695</v>
      </c>
      <c r="I54" s="36">
        <f>SUM(I55:I62)</f>
        <v>122989.62557</v>
      </c>
      <c r="J54" s="36">
        <f t="shared" si="2"/>
        <v>11132.317130000001</v>
      </c>
      <c r="K54" s="36">
        <f t="shared" si="2"/>
        <v>790363.10015399999</v>
      </c>
      <c r="L54" s="36">
        <f t="shared" si="2"/>
        <v>108752.73922000002</v>
      </c>
      <c r="M54" s="86"/>
    </row>
    <row r="55" spans="1:18" ht="60.75" customHeight="1">
      <c r="A55" s="55" t="s">
        <v>62</v>
      </c>
      <c r="B55" s="57">
        <v>39626</v>
      </c>
      <c r="C55" s="57">
        <v>43373</v>
      </c>
      <c r="D55" s="54" t="s">
        <v>4</v>
      </c>
      <c r="E55" s="54">
        <v>3700</v>
      </c>
      <c r="F55" s="54">
        <v>1814</v>
      </c>
      <c r="G55" s="106">
        <v>1500</v>
      </c>
      <c r="H55" s="108"/>
      <c r="I55" s="139">
        <v>342.8655</v>
      </c>
      <c r="J55" s="141"/>
      <c r="K55" s="139">
        <f>6580.461404+I55</f>
        <v>6923.3269039999996</v>
      </c>
      <c r="L55" s="139">
        <f>3649.68102+J55</f>
        <v>3649.68102</v>
      </c>
      <c r="M55" s="85" t="s">
        <v>97</v>
      </c>
    </row>
    <row r="56" spans="1:18" ht="182.45" customHeight="1">
      <c r="A56" s="153" t="s">
        <v>51</v>
      </c>
      <c r="B56" s="154">
        <v>40673</v>
      </c>
      <c r="C56" s="154">
        <v>44284</v>
      </c>
      <c r="D56" s="52" t="s">
        <v>0</v>
      </c>
      <c r="E56" s="52">
        <f>51343+25047+64205+23005</f>
        <v>163600</v>
      </c>
      <c r="F56" s="155"/>
      <c r="G56" s="155">
        <v>122700</v>
      </c>
      <c r="H56" s="156"/>
      <c r="I56" s="156">
        <v>95295.688240000003</v>
      </c>
      <c r="J56" s="160"/>
      <c r="K56" s="155">
        <f>491362.10463+I56</f>
        <v>586657.79287</v>
      </c>
      <c r="L56" s="155"/>
      <c r="M56" s="151" t="s">
        <v>169</v>
      </c>
    </row>
    <row r="57" spans="1:18" ht="259.5" customHeight="1">
      <c r="A57" s="153"/>
      <c r="B57" s="154"/>
      <c r="C57" s="154"/>
      <c r="D57" s="52" t="s">
        <v>1</v>
      </c>
      <c r="E57" s="52">
        <f>108000+43000+99000</f>
        <v>250000</v>
      </c>
      <c r="F57" s="155"/>
      <c r="G57" s="155"/>
      <c r="H57" s="156"/>
      <c r="I57" s="156"/>
      <c r="J57" s="160"/>
      <c r="K57" s="155"/>
      <c r="L57" s="155"/>
      <c r="M57" s="151"/>
    </row>
    <row r="58" spans="1:18" ht="69.75" customHeight="1">
      <c r="A58" s="78" t="s">
        <v>76</v>
      </c>
      <c r="B58" s="77" t="s">
        <v>75</v>
      </c>
      <c r="C58" s="77">
        <v>44119</v>
      </c>
      <c r="D58" s="74" t="s">
        <v>4</v>
      </c>
      <c r="E58" s="76">
        <v>100</v>
      </c>
      <c r="F58" s="76"/>
      <c r="G58" s="107"/>
      <c r="H58" s="109">
        <v>2500</v>
      </c>
      <c r="I58" s="66"/>
      <c r="J58" s="88"/>
      <c r="K58" s="140">
        <f>35.07802+I58</f>
        <v>35.078020000000002</v>
      </c>
      <c r="L58" s="66"/>
      <c r="M58" s="80" t="s">
        <v>141</v>
      </c>
    </row>
    <row r="59" spans="1:18" ht="147.75" customHeight="1">
      <c r="A59" s="56" t="s">
        <v>50</v>
      </c>
      <c r="B59" s="51">
        <v>40773</v>
      </c>
      <c r="C59" s="51">
        <v>44284</v>
      </c>
      <c r="D59" s="53" t="s">
        <v>4</v>
      </c>
      <c r="E59" s="53">
        <f>2988.339+4000+20000</f>
        <v>26988.339</v>
      </c>
      <c r="F59" s="53">
        <f>4500+6728.536+9000+4000+7000</f>
        <v>31228.536</v>
      </c>
      <c r="G59" s="107">
        <v>18400</v>
      </c>
      <c r="H59" s="109">
        <v>2850</v>
      </c>
      <c r="I59" s="144">
        <v>8697.8043300000008</v>
      </c>
      <c r="J59" s="144">
        <v>4738.1338100000003</v>
      </c>
      <c r="K59" s="142">
        <f>46200.7648+I59</f>
        <v>54898.569129999996</v>
      </c>
      <c r="L59" s="144">
        <f>57507.50654+J59</f>
        <v>62245.640350000001</v>
      </c>
      <c r="M59" s="80" t="s">
        <v>98</v>
      </c>
    </row>
    <row r="60" spans="1:18" ht="64.5" customHeight="1">
      <c r="A60" s="56" t="s">
        <v>47</v>
      </c>
      <c r="B60" s="51">
        <v>42360</v>
      </c>
      <c r="C60" s="51">
        <v>44012</v>
      </c>
      <c r="D60" s="52" t="s">
        <v>4</v>
      </c>
      <c r="E60" s="52">
        <v>30000</v>
      </c>
      <c r="F60" s="52">
        <v>2000</v>
      </c>
      <c r="G60" s="107">
        <v>9690</v>
      </c>
      <c r="H60" s="109">
        <v>4345</v>
      </c>
      <c r="I60" s="142">
        <v>12845.438410000001</v>
      </c>
      <c r="J60" s="142">
        <v>837.85843</v>
      </c>
      <c r="K60" s="142">
        <f>34681.49112+I60</f>
        <v>47526.929530000001</v>
      </c>
      <c r="L60" s="142">
        <f>3499.04143+J60</f>
        <v>4336.8998600000004</v>
      </c>
      <c r="M60" s="80" t="s">
        <v>99</v>
      </c>
    </row>
    <row r="61" spans="1:18" ht="66.75" customHeight="1">
      <c r="A61" s="56" t="s">
        <v>59</v>
      </c>
      <c r="B61" s="51">
        <v>41506</v>
      </c>
      <c r="C61" s="28">
        <v>43332</v>
      </c>
      <c r="D61" s="52" t="s">
        <v>4</v>
      </c>
      <c r="E61" s="52">
        <v>40000</v>
      </c>
      <c r="F61" s="52">
        <v>8000</v>
      </c>
      <c r="G61" s="107">
        <v>4000</v>
      </c>
      <c r="H61" s="109">
        <v>700</v>
      </c>
      <c r="I61" s="142">
        <v>5807.8290900000002</v>
      </c>
      <c r="J61" s="144">
        <v>1492.1362200000001</v>
      </c>
      <c r="K61" s="142">
        <f>88513.57461+I61</f>
        <v>94321.403699999995</v>
      </c>
      <c r="L61" s="142">
        <f>17820.5113+J61</f>
        <v>19312.647519999999</v>
      </c>
      <c r="M61" s="80" t="s">
        <v>100</v>
      </c>
    </row>
    <row r="62" spans="1:18" ht="55.5" customHeight="1" thickBot="1">
      <c r="A62" s="29" t="s">
        <v>52</v>
      </c>
      <c r="B62" s="30">
        <v>41480</v>
      </c>
      <c r="C62" s="30">
        <v>43889</v>
      </c>
      <c r="D62" s="31" t="s">
        <v>1</v>
      </c>
      <c r="E62" s="31"/>
      <c r="F62" s="31">
        <v>10052.155000000001</v>
      </c>
      <c r="G62" s="31"/>
      <c r="H62" s="68">
        <v>1300</v>
      </c>
      <c r="I62" s="31"/>
      <c r="J62" s="37">
        <v>4064.18867</v>
      </c>
      <c r="K62" s="31"/>
      <c r="L62" s="31">
        <f>15143.6818+J62</f>
        <v>19207.870470000002</v>
      </c>
      <c r="M62" s="84" t="s">
        <v>73</v>
      </c>
    </row>
    <row r="63" spans="1:18" s="7" customFormat="1" ht="30" customHeight="1" thickBot="1">
      <c r="A63" s="157" t="s">
        <v>25</v>
      </c>
      <c r="B63" s="158"/>
      <c r="C63" s="158"/>
      <c r="D63" s="158"/>
      <c r="E63" s="158"/>
      <c r="F63" s="159"/>
      <c r="G63" s="38">
        <f>SUM(G64:G75)</f>
        <v>86600</v>
      </c>
      <c r="H63" s="38">
        <f t="shared" ref="H63:L63" si="3">SUM(H64:H75)</f>
        <v>14000</v>
      </c>
      <c r="I63" s="38">
        <f t="shared" si="3"/>
        <v>9357.7371500000008</v>
      </c>
      <c r="J63" s="38">
        <f t="shared" si="3"/>
        <v>0</v>
      </c>
      <c r="K63" s="38">
        <f t="shared" si="3"/>
        <v>267561.46271499997</v>
      </c>
      <c r="L63" s="38">
        <f t="shared" si="3"/>
        <v>20950.680079999998</v>
      </c>
      <c r="M63" s="87"/>
    </row>
    <row r="64" spans="1:18" ht="92.25" customHeight="1">
      <c r="A64" s="89" t="s">
        <v>88</v>
      </c>
      <c r="B64" s="90">
        <v>43105</v>
      </c>
      <c r="C64" s="90" t="s">
        <v>89</v>
      </c>
      <c r="D64" s="79" t="s">
        <v>4</v>
      </c>
      <c r="E64" s="79">
        <v>28000</v>
      </c>
      <c r="F64" s="79">
        <v>7000</v>
      </c>
      <c r="G64" s="106">
        <v>15000</v>
      </c>
      <c r="H64" s="108">
        <v>10000</v>
      </c>
      <c r="I64" s="147">
        <v>2752.7133199999998</v>
      </c>
      <c r="J64" s="71"/>
      <c r="K64" s="146">
        <f>2588.27771+I64</f>
        <v>5340.9910299999992</v>
      </c>
      <c r="L64" s="146"/>
      <c r="M64" s="85" t="s">
        <v>112</v>
      </c>
    </row>
    <row r="65" spans="1:13" ht="49.5" customHeight="1">
      <c r="A65" s="58" t="s">
        <v>39</v>
      </c>
      <c r="B65" s="161">
        <v>41572</v>
      </c>
      <c r="C65" s="161">
        <v>43463</v>
      </c>
      <c r="D65" s="164" t="s">
        <v>4</v>
      </c>
      <c r="E65" s="164">
        <f>25200+35000</f>
        <v>60200</v>
      </c>
      <c r="F65" s="52">
        <v>8000</v>
      </c>
      <c r="G65" s="107">
        <v>6400</v>
      </c>
      <c r="H65" s="109"/>
      <c r="I65" s="142">
        <v>743.27260000000001</v>
      </c>
      <c r="J65" s="142"/>
      <c r="K65" s="142">
        <f>92412.661955+I65</f>
        <v>93155.934555</v>
      </c>
      <c r="L65" s="142">
        <v>20950.680079999998</v>
      </c>
      <c r="M65" s="151" t="s">
        <v>101</v>
      </c>
    </row>
    <row r="66" spans="1:13" ht="40.5" customHeight="1">
      <c r="A66" s="58" t="s">
        <v>60</v>
      </c>
      <c r="B66" s="162"/>
      <c r="C66" s="162"/>
      <c r="D66" s="165"/>
      <c r="E66" s="165"/>
      <c r="F66" s="52"/>
      <c r="G66" s="107">
        <v>4700</v>
      </c>
      <c r="H66" s="109"/>
      <c r="I66" s="142">
        <v>4403.7467500000002</v>
      </c>
      <c r="J66" s="142"/>
      <c r="K66" s="142">
        <f>45219.89027+I66</f>
        <v>49623.637020000002</v>
      </c>
      <c r="L66" s="142"/>
      <c r="M66" s="151"/>
    </row>
    <row r="67" spans="1:13" ht="52.9" customHeight="1">
      <c r="A67" s="56" t="s">
        <v>63</v>
      </c>
      <c r="B67" s="163"/>
      <c r="C67" s="163"/>
      <c r="D67" s="166"/>
      <c r="E67" s="166"/>
      <c r="F67" s="52"/>
      <c r="G67" s="93"/>
      <c r="H67" s="94"/>
      <c r="I67" s="142"/>
      <c r="J67" s="144"/>
      <c r="K67" s="142">
        <v>5120.6747100000002</v>
      </c>
      <c r="L67" s="142"/>
      <c r="M67" s="80" t="s">
        <v>102</v>
      </c>
    </row>
    <row r="68" spans="1:13" ht="87" customHeight="1">
      <c r="A68" s="99" t="s">
        <v>117</v>
      </c>
      <c r="B68" s="101">
        <v>42838</v>
      </c>
      <c r="C68" s="101">
        <v>44742</v>
      </c>
      <c r="D68" s="98" t="s">
        <v>4</v>
      </c>
      <c r="E68" s="98">
        <v>125000</v>
      </c>
      <c r="F68" s="96"/>
      <c r="G68" s="107">
        <v>5000</v>
      </c>
      <c r="H68" s="109">
        <v>4000</v>
      </c>
      <c r="I68" s="142"/>
      <c r="J68" s="144"/>
      <c r="K68" s="142"/>
      <c r="L68" s="142"/>
      <c r="M68" s="100" t="s">
        <v>129</v>
      </c>
    </row>
    <row r="69" spans="1:13" ht="102.75" customHeight="1">
      <c r="A69" s="56" t="s">
        <v>40</v>
      </c>
      <c r="B69" s="154">
        <v>41885</v>
      </c>
      <c r="C69" s="154">
        <v>44378</v>
      </c>
      <c r="D69" s="52" t="s">
        <v>1</v>
      </c>
      <c r="E69" s="155">
        <v>60000</v>
      </c>
      <c r="F69" s="52"/>
      <c r="G69" s="107">
        <v>10000</v>
      </c>
      <c r="H69" s="109"/>
      <c r="I69" s="142">
        <v>1458.0044800000001</v>
      </c>
      <c r="J69" s="144"/>
      <c r="K69" s="142">
        <f>112430.30228+I69</f>
        <v>113888.30676000001</v>
      </c>
      <c r="L69" s="142"/>
      <c r="M69" s="80" t="s">
        <v>103</v>
      </c>
    </row>
    <row r="70" spans="1:13" ht="54" customHeight="1">
      <c r="A70" s="56" t="s">
        <v>64</v>
      </c>
      <c r="B70" s="154"/>
      <c r="C70" s="154"/>
      <c r="D70" s="52" t="s">
        <v>1</v>
      </c>
      <c r="E70" s="178"/>
      <c r="F70" s="52"/>
      <c r="G70" s="107"/>
      <c r="H70" s="109"/>
      <c r="I70" s="142"/>
      <c r="J70" s="144"/>
      <c r="K70" s="142">
        <f>431.91864+I70</f>
        <v>431.91863999999998</v>
      </c>
      <c r="L70" s="142"/>
      <c r="M70" s="80" t="s">
        <v>104</v>
      </c>
    </row>
    <row r="71" spans="1:13" ht="153" customHeight="1">
      <c r="A71" s="99" t="s">
        <v>118</v>
      </c>
      <c r="B71" s="97"/>
      <c r="C71" s="97"/>
      <c r="D71" s="122" t="s">
        <v>4</v>
      </c>
      <c r="E71" s="107"/>
      <c r="F71" s="107"/>
      <c r="G71" s="107">
        <v>13500</v>
      </c>
      <c r="H71" s="109"/>
      <c r="I71" s="107"/>
      <c r="J71" s="112"/>
      <c r="K71" s="107"/>
      <c r="L71" s="96"/>
      <c r="M71" s="100" t="s">
        <v>119</v>
      </c>
    </row>
    <row r="72" spans="1:13" ht="79.5" customHeight="1">
      <c r="A72" s="99" t="s">
        <v>120</v>
      </c>
      <c r="B72" s="97"/>
      <c r="C72" s="97"/>
      <c r="D72" s="122" t="s">
        <v>1</v>
      </c>
      <c r="E72" s="107"/>
      <c r="F72" s="107"/>
      <c r="G72" s="107">
        <v>9000</v>
      </c>
      <c r="H72" s="109"/>
      <c r="I72" s="107"/>
      <c r="J72" s="112"/>
      <c r="K72" s="107"/>
      <c r="L72" s="97"/>
      <c r="M72" s="100" t="s">
        <v>121</v>
      </c>
    </row>
    <row r="73" spans="1:13" ht="103.5" customHeight="1">
      <c r="A73" s="99" t="s">
        <v>122</v>
      </c>
      <c r="B73" s="97"/>
      <c r="C73" s="97"/>
      <c r="D73" s="122" t="s">
        <v>4</v>
      </c>
      <c r="E73" s="107"/>
      <c r="F73" s="107"/>
      <c r="G73" s="107">
        <v>4500</v>
      </c>
      <c r="H73" s="109"/>
      <c r="I73" s="107"/>
      <c r="J73" s="112"/>
      <c r="K73" s="107"/>
      <c r="L73" s="97"/>
      <c r="M73" s="100" t="s">
        <v>123</v>
      </c>
    </row>
    <row r="74" spans="1:13" ht="49.5" customHeight="1">
      <c r="A74" s="117" t="s">
        <v>131</v>
      </c>
      <c r="B74" s="111"/>
      <c r="C74" s="28"/>
      <c r="D74" s="122" t="s">
        <v>4</v>
      </c>
      <c r="E74" s="107"/>
      <c r="F74" s="107"/>
      <c r="G74" s="107">
        <v>9500</v>
      </c>
      <c r="H74" s="109"/>
      <c r="I74" s="107"/>
      <c r="J74" s="112"/>
      <c r="K74" s="107"/>
      <c r="L74" s="109"/>
      <c r="M74" s="118" t="s">
        <v>133</v>
      </c>
    </row>
    <row r="75" spans="1:13" ht="55.5" customHeight="1" thickBot="1">
      <c r="A75" s="117" t="s">
        <v>132</v>
      </c>
      <c r="B75" s="111"/>
      <c r="C75" s="28"/>
      <c r="D75" s="122" t="s">
        <v>4</v>
      </c>
      <c r="E75" s="107"/>
      <c r="F75" s="107"/>
      <c r="G75" s="107">
        <v>9000</v>
      </c>
      <c r="H75" s="109"/>
      <c r="I75" s="107"/>
      <c r="J75" s="112"/>
      <c r="K75" s="107"/>
      <c r="L75" s="109"/>
      <c r="M75" s="118" t="s">
        <v>133</v>
      </c>
    </row>
    <row r="76" spans="1:13" s="7" customFormat="1" ht="38.450000000000003" customHeight="1" thickBot="1">
      <c r="A76" s="210" t="s">
        <v>26</v>
      </c>
      <c r="B76" s="211"/>
      <c r="C76" s="211"/>
      <c r="D76" s="211"/>
      <c r="E76" s="211"/>
      <c r="F76" s="212"/>
      <c r="G76" s="36">
        <f>G77+G80+G81</f>
        <v>19830</v>
      </c>
      <c r="H76" s="36">
        <f>SUM(H77:H82)</f>
        <v>4310</v>
      </c>
      <c r="I76" s="36">
        <f>SUM(I77:I82)</f>
        <v>11731.6842</v>
      </c>
      <c r="J76" s="36">
        <f>SUM(J77:J82)</f>
        <v>2601.88438</v>
      </c>
      <c r="K76" s="36">
        <f>SUM(K77:K82)</f>
        <v>77577.223365999991</v>
      </c>
      <c r="L76" s="36">
        <f>SUM(L77:L82)</f>
        <v>9205.3679199999988</v>
      </c>
      <c r="M76" s="86"/>
    </row>
    <row r="77" spans="1:13" ht="156.6" customHeight="1">
      <c r="A77" s="176" t="s">
        <v>18</v>
      </c>
      <c r="B77" s="39">
        <v>42052</v>
      </c>
      <c r="C77" s="40">
        <v>44121</v>
      </c>
      <c r="D77" s="54" t="s">
        <v>0</v>
      </c>
      <c r="E77" s="54">
        <v>8610</v>
      </c>
      <c r="F77" s="54"/>
      <c r="G77" s="172">
        <v>6730</v>
      </c>
      <c r="H77" s="177">
        <v>4070</v>
      </c>
      <c r="I77" s="172">
        <v>7200.1242499999998</v>
      </c>
      <c r="J77" s="172">
        <v>2601.88438</v>
      </c>
      <c r="K77" s="172">
        <f>16279.05301+I77</f>
        <v>23479.17726</v>
      </c>
      <c r="L77" s="172">
        <f>6102.55654+J77</f>
        <v>8704.4409199999991</v>
      </c>
      <c r="M77" s="173" t="s">
        <v>170</v>
      </c>
    </row>
    <row r="78" spans="1:13" ht="93" customHeight="1">
      <c r="A78" s="153"/>
      <c r="B78" s="28">
        <v>41978</v>
      </c>
      <c r="C78" s="41">
        <v>42735</v>
      </c>
      <c r="D78" s="52" t="s">
        <v>1</v>
      </c>
      <c r="E78" s="52"/>
      <c r="F78" s="52">
        <v>500</v>
      </c>
      <c r="G78" s="155"/>
      <c r="H78" s="156"/>
      <c r="I78" s="155"/>
      <c r="J78" s="155"/>
      <c r="K78" s="155"/>
      <c r="L78" s="155"/>
      <c r="M78" s="174"/>
    </row>
    <row r="79" spans="1:13" ht="47.25" customHeight="1">
      <c r="A79" s="153"/>
      <c r="B79" s="28">
        <v>42052</v>
      </c>
      <c r="C79" s="42">
        <v>43513</v>
      </c>
      <c r="D79" s="52" t="s">
        <v>1</v>
      </c>
      <c r="E79" s="52"/>
      <c r="F79" s="52">
        <v>5300</v>
      </c>
      <c r="G79" s="155"/>
      <c r="H79" s="156"/>
      <c r="I79" s="155"/>
      <c r="J79" s="155"/>
      <c r="K79" s="155"/>
      <c r="L79" s="155"/>
      <c r="M79" s="175"/>
    </row>
    <row r="80" spans="1:13" ht="49.9" customHeight="1">
      <c r="A80" s="153" t="s">
        <v>17</v>
      </c>
      <c r="B80" s="154">
        <v>41964</v>
      </c>
      <c r="C80" s="154">
        <v>44408</v>
      </c>
      <c r="D80" s="160" t="s">
        <v>0</v>
      </c>
      <c r="E80" s="155">
        <v>32400</v>
      </c>
      <c r="F80" s="155"/>
      <c r="G80" s="107">
        <v>11000</v>
      </c>
      <c r="H80" s="107"/>
      <c r="I80" s="142">
        <v>3626.3608599999998</v>
      </c>
      <c r="J80" s="144"/>
      <c r="K80" s="142">
        <f>45181.823066+I80</f>
        <v>48808.183925999998</v>
      </c>
      <c r="L80" s="142"/>
      <c r="M80" s="134" t="s">
        <v>105</v>
      </c>
    </row>
    <row r="81" spans="1:13" ht="48.6" customHeight="1">
      <c r="A81" s="153"/>
      <c r="B81" s="154"/>
      <c r="C81" s="154"/>
      <c r="D81" s="160"/>
      <c r="E81" s="155"/>
      <c r="F81" s="155"/>
      <c r="G81" s="107">
        <v>2100</v>
      </c>
      <c r="H81" s="107"/>
      <c r="I81" s="142">
        <v>905.19908999999996</v>
      </c>
      <c r="J81" s="144"/>
      <c r="K81" s="142">
        <f>4384.66309+I81</f>
        <v>5289.8621800000001</v>
      </c>
      <c r="L81" s="142"/>
      <c r="M81" s="133" t="s">
        <v>106</v>
      </c>
    </row>
    <row r="82" spans="1:13" ht="92.25" customHeight="1" thickBot="1">
      <c r="A82" s="29" t="s">
        <v>21</v>
      </c>
      <c r="B82" s="30">
        <v>41946</v>
      </c>
      <c r="C82" s="43">
        <v>43190</v>
      </c>
      <c r="D82" s="37" t="s">
        <v>4</v>
      </c>
      <c r="E82" s="31"/>
      <c r="F82" s="31">
        <v>861</v>
      </c>
      <c r="G82" s="31"/>
      <c r="H82" s="68">
        <v>240</v>
      </c>
      <c r="I82" s="68"/>
      <c r="J82" s="31"/>
      <c r="K82" s="31"/>
      <c r="L82" s="31">
        <f>500.927+J82</f>
        <v>500.92700000000002</v>
      </c>
      <c r="M82" s="84" t="s">
        <v>142</v>
      </c>
    </row>
    <row r="83" spans="1:13" s="7" customFormat="1" ht="29.25" customHeight="1" thickBot="1">
      <c r="A83" s="157" t="s">
        <v>27</v>
      </c>
      <c r="B83" s="158"/>
      <c r="C83" s="158"/>
      <c r="D83" s="158"/>
      <c r="E83" s="158"/>
      <c r="F83" s="159"/>
      <c r="G83" s="38">
        <f t="shared" ref="G83:L83" si="4">SUM(G84:G85)</f>
        <v>0</v>
      </c>
      <c r="H83" s="38">
        <f t="shared" si="4"/>
        <v>4645</v>
      </c>
      <c r="I83" s="38">
        <f t="shared" si="4"/>
        <v>0</v>
      </c>
      <c r="J83" s="38">
        <f t="shared" si="4"/>
        <v>1513.5888</v>
      </c>
      <c r="K83" s="38">
        <f t="shared" si="4"/>
        <v>0</v>
      </c>
      <c r="L83" s="38">
        <f t="shared" si="4"/>
        <v>23576.42281</v>
      </c>
      <c r="M83" s="87"/>
    </row>
    <row r="84" spans="1:13" ht="162" customHeight="1">
      <c r="A84" s="55" t="s">
        <v>23</v>
      </c>
      <c r="B84" s="39">
        <v>40119</v>
      </c>
      <c r="C84" s="57">
        <v>43465</v>
      </c>
      <c r="D84" s="54" t="s">
        <v>4</v>
      </c>
      <c r="E84" s="54"/>
      <c r="F84" s="64">
        <v>2267</v>
      </c>
      <c r="G84" s="64"/>
      <c r="H84" s="108">
        <v>1345</v>
      </c>
      <c r="I84" s="137"/>
      <c r="J84" s="150">
        <v>787.68399999999997</v>
      </c>
      <c r="K84" s="146"/>
      <c r="L84" s="146">
        <f>6077.20889+J84</f>
        <v>6864.8928900000001</v>
      </c>
      <c r="M84" s="85" t="s">
        <v>107</v>
      </c>
    </row>
    <row r="85" spans="1:13" ht="192.75" customHeight="1" thickBot="1">
      <c r="A85" s="29" t="s">
        <v>16</v>
      </c>
      <c r="B85" s="43">
        <v>40589</v>
      </c>
      <c r="C85" s="43">
        <v>43100</v>
      </c>
      <c r="D85" s="37" t="s">
        <v>4</v>
      </c>
      <c r="E85" s="31"/>
      <c r="F85" s="31">
        <v>8250</v>
      </c>
      <c r="G85" s="31"/>
      <c r="H85" s="68">
        <v>3300</v>
      </c>
      <c r="I85" s="31"/>
      <c r="J85" s="31">
        <v>725.90480000000002</v>
      </c>
      <c r="K85" s="31"/>
      <c r="L85" s="31">
        <f>15985.62512+J85</f>
        <v>16711.529920000001</v>
      </c>
      <c r="M85" s="84" t="s">
        <v>108</v>
      </c>
    </row>
    <row r="86" spans="1:13" s="7" customFormat="1" ht="33" customHeight="1" thickBot="1">
      <c r="A86" s="210" t="s">
        <v>5</v>
      </c>
      <c r="B86" s="211"/>
      <c r="C86" s="211"/>
      <c r="D86" s="211"/>
      <c r="E86" s="211"/>
      <c r="F86" s="212"/>
      <c r="G86" s="36">
        <f t="shared" ref="G86:L86" si="5">SUM(G87:G92)</f>
        <v>146300</v>
      </c>
      <c r="H86" s="36">
        <f t="shared" si="5"/>
        <v>42900</v>
      </c>
      <c r="I86" s="36">
        <f t="shared" si="5"/>
        <v>5361.9581099999996</v>
      </c>
      <c r="J86" s="36">
        <f t="shared" si="5"/>
        <v>60460.172400000003</v>
      </c>
      <c r="K86" s="36">
        <f t="shared" si="5"/>
        <v>244635.86951999998</v>
      </c>
      <c r="L86" s="36">
        <f t="shared" si="5"/>
        <v>342259.08439139999</v>
      </c>
      <c r="M86" s="86"/>
    </row>
    <row r="87" spans="1:13" ht="364.5" customHeight="1">
      <c r="A87" s="55" t="s">
        <v>65</v>
      </c>
      <c r="B87" s="39">
        <v>41103</v>
      </c>
      <c r="C87" s="39">
        <v>43767</v>
      </c>
      <c r="D87" s="59" t="s">
        <v>1</v>
      </c>
      <c r="E87" s="54"/>
      <c r="F87" s="54">
        <f>140000+2700</f>
        <v>142700</v>
      </c>
      <c r="G87" s="92"/>
      <c r="H87" s="108">
        <v>38900</v>
      </c>
      <c r="I87" s="146"/>
      <c r="J87" s="150">
        <v>60460.172400000003</v>
      </c>
      <c r="K87" s="146"/>
      <c r="L87" s="146">
        <f>281798.9119914+J87</f>
        <v>342259.08439139999</v>
      </c>
      <c r="M87" s="85" t="s">
        <v>155</v>
      </c>
    </row>
    <row r="88" spans="1:13" ht="78.75" customHeight="1">
      <c r="A88" s="102" t="s">
        <v>53</v>
      </c>
      <c r="B88" s="51">
        <v>42661</v>
      </c>
      <c r="C88" s="51">
        <v>44377</v>
      </c>
      <c r="D88" s="52" t="s">
        <v>4</v>
      </c>
      <c r="E88" s="52">
        <v>14000</v>
      </c>
      <c r="F88" s="52"/>
      <c r="G88" s="107">
        <v>1500</v>
      </c>
      <c r="H88" s="109">
        <v>1000</v>
      </c>
      <c r="I88" s="142">
        <v>148.42375000000001</v>
      </c>
      <c r="J88" s="142"/>
      <c r="K88" s="142"/>
      <c r="L88" s="27">
        <v>0</v>
      </c>
      <c r="M88" s="80" t="s">
        <v>150</v>
      </c>
    </row>
    <row r="89" spans="1:13" ht="53.25" customHeight="1">
      <c r="A89" s="60" t="s">
        <v>42</v>
      </c>
      <c r="B89" s="48">
        <v>42346</v>
      </c>
      <c r="C89" s="48">
        <v>43228</v>
      </c>
      <c r="D89" s="49" t="s">
        <v>4</v>
      </c>
      <c r="E89" s="49">
        <v>82821</v>
      </c>
      <c r="F89" s="52"/>
      <c r="G89" s="107">
        <v>55000</v>
      </c>
      <c r="H89" s="109"/>
      <c r="I89" s="142"/>
      <c r="J89" s="142"/>
      <c r="K89" s="142">
        <f>226048.34892+I89</f>
        <v>226048.34891999999</v>
      </c>
      <c r="L89" s="142"/>
      <c r="M89" s="80" t="s">
        <v>70</v>
      </c>
    </row>
    <row r="90" spans="1:13" ht="53.25" customHeight="1">
      <c r="A90" s="61" t="s">
        <v>68</v>
      </c>
      <c r="B90" s="48">
        <v>42929</v>
      </c>
      <c r="C90" s="48">
        <v>43830</v>
      </c>
      <c r="D90" s="49" t="s">
        <v>4</v>
      </c>
      <c r="E90" s="49">
        <v>5500</v>
      </c>
      <c r="F90" s="52">
        <v>1500</v>
      </c>
      <c r="G90" s="107">
        <v>4800</v>
      </c>
      <c r="H90" s="109">
        <v>3000</v>
      </c>
      <c r="I90" s="142">
        <v>1017.89769</v>
      </c>
      <c r="J90" s="142"/>
      <c r="K90" s="142">
        <f>8749.28036+I90</f>
        <v>9767.1780500000004</v>
      </c>
      <c r="L90" s="27">
        <v>0</v>
      </c>
      <c r="M90" s="80" t="s">
        <v>143</v>
      </c>
    </row>
    <row r="91" spans="1:13" ht="50.25" customHeight="1">
      <c r="A91" s="61" t="s">
        <v>130</v>
      </c>
      <c r="B91" s="103"/>
      <c r="C91" s="103"/>
      <c r="D91" s="104"/>
      <c r="E91" s="104"/>
      <c r="F91" s="110"/>
      <c r="G91" s="110">
        <v>75000</v>
      </c>
      <c r="H91" s="104"/>
      <c r="I91" s="145"/>
      <c r="J91" s="145"/>
      <c r="K91" s="123"/>
      <c r="L91" s="123"/>
      <c r="M91" s="105" t="s">
        <v>133</v>
      </c>
    </row>
    <row r="92" spans="1:13" s="9" customFormat="1" ht="90.75" customHeight="1" thickBot="1">
      <c r="A92" s="29" t="s">
        <v>35</v>
      </c>
      <c r="B92" s="43">
        <v>42457</v>
      </c>
      <c r="C92" s="43">
        <v>44316</v>
      </c>
      <c r="D92" s="37" t="s">
        <v>1</v>
      </c>
      <c r="E92" s="31">
        <v>40000</v>
      </c>
      <c r="F92" s="31"/>
      <c r="G92" s="31">
        <v>10000</v>
      </c>
      <c r="H92" s="68"/>
      <c r="I92" s="31">
        <v>4195.6366699999999</v>
      </c>
      <c r="J92" s="31"/>
      <c r="K92" s="31">
        <f>4624.70588+I92</f>
        <v>8820.3425500000012</v>
      </c>
      <c r="L92" s="31"/>
      <c r="M92" s="84" t="s">
        <v>153</v>
      </c>
    </row>
    <row r="93" spans="1:13" s="6" customFormat="1" ht="40.5" customHeight="1" thickBot="1">
      <c r="A93" s="44"/>
      <c r="B93" s="45"/>
      <c r="C93" s="45"/>
      <c r="D93" s="46"/>
      <c r="E93" s="47"/>
      <c r="F93" s="38" t="s">
        <v>28</v>
      </c>
      <c r="G93" s="38">
        <f t="shared" ref="G93:L93" si="6">G86+G83+G76+G63+G54+G36+G7</f>
        <v>1301050</v>
      </c>
      <c r="H93" s="38">
        <f t="shared" si="6"/>
        <v>92700</v>
      </c>
      <c r="I93" s="38">
        <f t="shared" si="6"/>
        <v>371968.01630999998</v>
      </c>
      <c r="J93" s="38">
        <f t="shared" si="6"/>
        <v>82520.327050000007</v>
      </c>
      <c r="K93" s="38">
        <f t="shared" si="6"/>
        <v>4375752.6603849996</v>
      </c>
      <c r="L93" s="38">
        <f t="shared" si="6"/>
        <v>557441.53403140011</v>
      </c>
      <c r="M93" s="81"/>
    </row>
    <row r="94" spans="1:13" ht="6" customHeight="1">
      <c r="A94" s="10"/>
      <c r="B94" s="8"/>
      <c r="C94" s="8"/>
      <c r="D94" s="10"/>
      <c r="E94" s="10"/>
      <c r="F94" s="10"/>
      <c r="G94" s="10"/>
      <c r="H94" s="10"/>
      <c r="I94" s="10"/>
      <c r="J94" s="10"/>
      <c r="K94" s="10"/>
      <c r="L94" s="10"/>
    </row>
    <row r="95" spans="1:13" ht="24.75" customHeight="1">
      <c r="A95" s="209" t="s">
        <v>32</v>
      </c>
      <c r="B95" s="209"/>
      <c r="C95" s="209"/>
      <c r="D95" s="209"/>
      <c r="E95" s="209"/>
      <c r="F95" s="209"/>
      <c r="G95" s="209"/>
      <c r="H95" s="209"/>
      <c r="I95" s="209"/>
      <c r="J95" s="209"/>
      <c r="K95" s="209"/>
      <c r="L95" s="209"/>
    </row>
    <row r="96" spans="1:13" ht="24" customHeight="1">
      <c r="A96" s="1" t="s">
        <v>36</v>
      </c>
      <c r="B96" s="2"/>
      <c r="D96" s="1"/>
      <c r="E96" s="1"/>
      <c r="F96" s="1"/>
      <c r="H96" s="1"/>
      <c r="I96" s="1"/>
      <c r="J96" s="1"/>
      <c r="K96" s="1"/>
      <c r="L96" s="1"/>
    </row>
    <row r="97" spans="1:12">
      <c r="A97" s="1"/>
      <c r="B97" s="2"/>
      <c r="D97" s="1"/>
      <c r="E97" s="1"/>
      <c r="F97" s="1"/>
      <c r="H97" s="1"/>
      <c r="I97" s="1"/>
      <c r="J97" s="1"/>
      <c r="K97" s="1"/>
      <c r="L97" s="1"/>
    </row>
    <row r="98" spans="1:12" ht="39" customHeight="1">
      <c r="G98" s="11">
        <f>G93-'[1]For Website'!$G$95</f>
        <v>0</v>
      </c>
      <c r="H98" s="12">
        <f>H93-'[1]For Website'!$H$95</f>
        <v>0</v>
      </c>
      <c r="I98" s="12">
        <f>I93-'[2]WEB-2019'!$I$93</f>
        <v>0</v>
      </c>
      <c r="J98" s="12">
        <f>J93-'[2]WEB-2019'!$J$93</f>
        <v>0</v>
      </c>
      <c r="K98" s="12">
        <f>K93-'[2]WEB-2019'!$K$93</f>
        <v>0</v>
      </c>
      <c r="L98" s="12">
        <f>L93-'[2]WEB-2019'!$L$93</f>
        <v>0</v>
      </c>
    </row>
    <row r="99" spans="1:12" ht="21.75" customHeight="1">
      <c r="G99" s="11"/>
      <c r="H99" s="12"/>
      <c r="I99" s="12"/>
      <c r="J99" s="12"/>
      <c r="K99" s="12"/>
      <c r="L99" s="12"/>
    </row>
  </sheetData>
  <mergeCells count="140">
    <mergeCell ref="B21:B23"/>
    <mergeCell ref="C21:C23"/>
    <mergeCell ref="D21:D23"/>
    <mergeCell ref="E21:E23"/>
    <mergeCell ref="M18:M19"/>
    <mergeCell ref="L8:L9"/>
    <mergeCell ref="L12:L13"/>
    <mergeCell ref="L10:L11"/>
    <mergeCell ref="H8:H9"/>
    <mergeCell ref="J12:J13"/>
    <mergeCell ref="I8:I9"/>
    <mergeCell ref="M14:M15"/>
    <mergeCell ref="L14:L15"/>
    <mergeCell ref="K14:K15"/>
    <mergeCell ref="F14:F15"/>
    <mergeCell ref="H14:H15"/>
    <mergeCell ref="J14:J15"/>
    <mergeCell ref="H18:H19"/>
    <mergeCell ref="I18:I19"/>
    <mergeCell ref="J18:J19"/>
    <mergeCell ref="K18:K19"/>
    <mergeCell ref="L18:L19"/>
    <mergeCell ref="K8:K9"/>
    <mergeCell ref="K12:K13"/>
    <mergeCell ref="B12:B13"/>
    <mergeCell ref="C8:C9"/>
    <mergeCell ref="C12:C13"/>
    <mergeCell ref="J10:J11"/>
    <mergeCell ref="I10:I11"/>
    <mergeCell ref="F8:F9"/>
    <mergeCell ref="K10:K11"/>
    <mergeCell ref="J8:J9"/>
    <mergeCell ref="H12:H13"/>
    <mergeCell ref="H10:H11"/>
    <mergeCell ref="A80:A81"/>
    <mergeCell ref="B80:B81"/>
    <mergeCell ref="C80:C81"/>
    <mergeCell ref="D80:D81"/>
    <mergeCell ref="E80:E81"/>
    <mergeCell ref="F80:F81"/>
    <mergeCell ref="A95:L95"/>
    <mergeCell ref="F40:F41"/>
    <mergeCell ref="A83:F83"/>
    <mergeCell ref="A86:F86"/>
    <mergeCell ref="J40:J41"/>
    <mergeCell ref="K40:K41"/>
    <mergeCell ref="A54:F54"/>
    <mergeCell ref="A63:F63"/>
    <mergeCell ref="A76:F76"/>
    <mergeCell ref="A40:A41"/>
    <mergeCell ref="B40:B41"/>
    <mergeCell ref="A43:A44"/>
    <mergeCell ref="B43:B44"/>
    <mergeCell ref="C43:C44"/>
    <mergeCell ref="G43:G44"/>
    <mergeCell ref="H43:H44"/>
    <mergeCell ref="I43:I44"/>
    <mergeCell ref="K77:K79"/>
    <mergeCell ref="A8:A9"/>
    <mergeCell ref="A29:A30"/>
    <mergeCell ref="G4:H4"/>
    <mergeCell ref="G5:H5"/>
    <mergeCell ref="C4:C5"/>
    <mergeCell ref="D4:F4"/>
    <mergeCell ref="A12:A13"/>
    <mergeCell ref="A4:A5"/>
    <mergeCell ref="B4:B5"/>
    <mergeCell ref="D5:F5"/>
    <mergeCell ref="A7:F7"/>
    <mergeCell ref="G10:G11"/>
    <mergeCell ref="G8:G9"/>
    <mergeCell ref="B10:B11"/>
    <mergeCell ref="C10:C11"/>
    <mergeCell ref="G12:G13"/>
    <mergeCell ref="C29:C30"/>
    <mergeCell ref="F12:F13"/>
    <mergeCell ref="B8:B9"/>
    <mergeCell ref="G14:G15"/>
    <mergeCell ref="B14:B15"/>
    <mergeCell ref="C14:C15"/>
    <mergeCell ref="A18:A19"/>
    <mergeCell ref="G18:G19"/>
    <mergeCell ref="M4:M5"/>
    <mergeCell ref="M8:M9"/>
    <mergeCell ref="M12:M13"/>
    <mergeCell ref="M29:M30"/>
    <mergeCell ref="M40:M41"/>
    <mergeCell ref="M10:M11"/>
    <mergeCell ref="M56:M57"/>
    <mergeCell ref="J56:J57"/>
    <mergeCell ref="G56:G57"/>
    <mergeCell ref="I56:I57"/>
    <mergeCell ref="K56:K57"/>
    <mergeCell ref="L56:L57"/>
    <mergeCell ref="I5:J5"/>
    <mergeCell ref="K5:L5"/>
    <mergeCell ref="K4:L4"/>
    <mergeCell ref="I4:J4"/>
    <mergeCell ref="L40:L41"/>
    <mergeCell ref="M43:M44"/>
    <mergeCell ref="J43:J44"/>
    <mergeCell ref="K43:K44"/>
    <mergeCell ref="L43:L44"/>
    <mergeCell ref="I40:I41"/>
    <mergeCell ref="G40:G41"/>
    <mergeCell ref="H40:H41"/>
    <mergeCell ref="L77:L79"/>
    <mergeCell ref="M77:M79"/>
    <mergeCell ref="A77:A79"/>
    <mergeCell ref="G77:G79"/>
    <mergeCell ref="H77:H79"/>
    <mergeCell ref="I77:I79"/>
    <mergeCell ref="J77:J79"/>
    <mergeCell ref="B69:B70"/>
    <mergeCell ref="C69:C70"/>
    <mergeCell ref="E69:E70"/>
    <mergeCell ref="M65:M66"/>
    <mergeCell ref="A10:A11"/>
    <mergeCell ref="A56:A57"/>
    <mergeCell ref="B56:B57"/>
    <mergeCell ref="C56:C57"/>
    <mergeCell ref="F56:F57"/>
    <mergeCell ref="H56:H57"/>
    <mergeCell ref="C40:C41"/>
    <mergeCell ref="A36:F36"/>
    <mergeCell ref="L29:L30"/>
    <mergeCell ref="I12:I13"/>
    <mergeCell ref="K29:K30"/>
    <mergeCell ref="J29:J30"/>
    <mergeCell ref="B65:B67"/>
    <mergeCell ref="C65:C67"/>
    <mergeCell ref="D65:D67"/>
    <mergeCell ref="E65:E67"/>
    <mergeCell ref="A14:A15"/>
    <mergeCell ref="B29:B30"/>
    <mergeCell ref="F29:F30"/>
    <mergeCell ref="G29:G30"/>
    <mergeCell ref="H29:H30"/>
    <mergeCell ref="I29:I30"/>
    <mergeCell ref="I14:I15"/>
  </mergeCells>
  <printOptions horizontalCentered="1"/>
  <pageMargins left="0" right="0" top="0.19685039370078741" bottom="0.23622047244094491" header="0" footer="0"/>
  <pageSetup paperSize="9" scale="35" fitToHeight="0" orientation="landscape" r:id="rId1"/>
  <headerFooter alignWithMargins="0"/>
  <rowBreaks count="3" manualBreakCount="3">
    <brk id="35" max="12" man="1"/>
    <brk id="58" max="12" man="1"/>
    <brk id="8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Anna Rusieshvili</cp:lastModifiedBy>
  <cp:lastPrinted>2019-10-09T13:14:39Z</cp:lastPrinted>
  <dcterms:created xsi:type="dcterms:W3CDTF">2011-04-14T08:42:21Z</dcterms:created>
  <dcterms:modified xsi:type="dcterms:W3CDTF">2019-10-09T13:15:17Z</dcterms:modified>
</cp:coreProperties>
</file>