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nna.rusieshvili\Desktop\WEB info\WEB 2019\July\"/>
    </mc:Choice>
  </mc:AlternateContent>
  <bookViews>
    <workbookView xWindow="330" yWindow="555" windowWidth="28425" windowHeight="5835" tabRatio="177"/>
  </bookViews>
  <sheets>
    <sheet name="For Website_ENG" sheetId="12" r:id="rId1"/>
  </sheets>
  <externalReferences>
    <externalReference r:id="rId2"/>
    <externalReference r:id="rId3"/>
  </externalReferences>
  <definedNames>
    <definedName name="_xlnm.Print_Area" localSheetId="0">'For Website_ENG'!$A$1:$M$96</definedName>
    <definedName name="_xlnm.Print_Titles" localSheetId="0">'For Website_ENG'!$A:$A,'For Website_ENG'!$4:$6</definedName>
  </definedNames>
  <calcPr calcId="162913"/>
</workbook>
</file>

<file path=xl/calcChain.xml><?xml version="1.0" encoding="utf-8"?>
<calcChain xmlns="http://schemas.openxmlformats.org/spreadsheetml/2006/main">
  <c r="K92" i="12" l="1"/>
  <c r="K90" i="12"/>
  <c r="K89" i="12"/>
  <c r="L87" i="12"/>
  <c r="L85" i="12"/>
  <c r="L84" i="12"/>
  <c r="K81" i="12"/>
  <c r="K80" i="12"/>
  <c r="L77" i="12"/>
  <c r="K77" i="12"/>
  <c r="L62" i="12"/>
  <c r="L61" i="12"/>
  <c r="K61" i="12"/>
  <c r="L60" i="12"/>
  <c r="K60" i="12"/>
  <c r="L59" i="12"/>
  <c r="K59" i="12"/>
  <c r="K58" i="12"/>
  <c r="K56" i="12"/>
  <c r="L55" i="12"/>
  <c r="K55" i="12"/>
  <c r="K49" i="12"/>
  <c r="L47" i="12"/>
  <c r="K47" i="12"/>
  <c r="K46" i="12"/>
  <c r="K45" i="12"/>
  <c r="K43" i="12"/>
  <c r="K40" i="12"/>
  <c r="L39" i="12"/>
  <c r="K39" i="12"/>
  <c r="K38" i="12"/>
  <c r="L37" i="12"/>
  <c r="K37" i="12"/>
  <c r="K21" i="12"/>
  <c r="I7" i="12" l="1"/>
  <c r="K35" i="12"/>
  <c r="K34" i="12"/>
  <c r="K33" i="12"/>
  <c r="K32" i="12"/>
  <c r="K31" i="12"/>
  <c r="K29" i="12"/>
  <c r="L17" i="12"/>
  <c r="K17" i="12"/>
  <c r="K16" i="12"/>
  <c r="K8" i="12"/>
  <c r="K51" i="12" l="1"/>
  <c r="K23" i="12"/>
  <c r="K20" i="12"/>
  <c r="K69" i="12" l="1"/>
  <c r="K64" i="12" l="1"/>
  <c r="G36" i="12" l="1"/>
  <c r="L82" i="12" l="1"/>
  <c r="K70" i="12"/>
  <c r="K65" i="12"/>
  <c r="K42" i="12"/>
  <c r="L63" i="12" l="1"/>
  <c r="J63" i="12"/>
  <c r="I63" i="12"/>
  <c r="H63" i="12"/>
  <c r="G63" i="12"/>
  <c r="J36" i="12" l="1"/>
  <c r="I36" i="12"/>
  <c r="H36" i="12"/>
  <c r="G54" i="12"/>
  <c r="K18" i="12" l="1"/>
  <c r="L36" i="12" l="1"/>
  <c r="K36" i="12"/>
  <c r="G76" i="12"/>
  <c r="K63" i="12"/>
  <c r="I76" i="12" l="1"/>
  <c r="J76" i="12"/>
  <c r="K76" i="12" l="1"/>
  <c r="I54" i="12" l="1"/>
  <c r="L76" i="12" l="1"/>
  <c r="F87" i="12" l="1"/>
  <c r="E65" i="12"/>
  <c r="F59" i="12"/>
  <c r="E59" i="12"/>
  <c r="E57" i="12"/>
  <c r="E56" i="12"/>
  <c r="E41" i="12"/>
  <c r="E40" i="12"/>
  <c r="J7" i="12" l="1"/>
  <c r="H7" i="12"/>
  <c r="G7" i="12"/>
  <c r="L7" i="12"/>
  <c r="K7" i="12" l="1"/>
  <c r="H86" i="12"/>
  <c r="G86" i="12"/>
  <c r="K86" i="12" l="1"/>
  <c r="I86" i="12" l="1"/>
  <c r="J86" i="12"/>
  <c r="L86" i="12"/>
  <c r="G83" i="12"/>
  <c r="G93" i="12" s="1"/>
  <c r="G98" i="12" s="1"/>
  <c r="H83" i="12"/>
  <c r="I83" i="12"/>
  <c r="J83" i="12"/>
  <c r="K83" i="12"/>
  <c r="L83" i="12"/>
  <c r="H76" i="12"/>
  <c r="H54" i="12" l="1"/>
  <c r="H93" i="12" s="1"/>
  <c r="H98" i="12" s="1"/>
  <c r="I93" i="12"/>
  <c r="I98" i="12" s="1"/>
  <c r="J54" i="12"/>
  <c r="J93" i="12" s="1"/>
  <c r="J98" i="12" s="1"/>
  <c r="K54" i="12"/>
  <c r="K93" i="12" s="1"/>
  <c r="K98" i="12" s="1"/>
  <c r="L54" i="12"/>
  <c r="L93" i="12" s="1"/>
  <c r="L98" i="12" s="1"/>
</calcChain>
</file>

<file path=xl/sharedStrings.xml><?xml version="1.0" encoding="utf-8"?>
<sst xmlns="http://schemas.openxmlformats.org/spreadsheetml/2006/main" count="242" uniqueCount="171">
  <si>
    <t>SDR</t>
  </si>
  <si>
    <t>USD</t>
  </si>
  <si>
    <t xml:space="preserve">USD </t>
  </si>
  <si>
    <t>JPY</t>
  </si>
  <si>
    <t>EUR</t>
  </si>
  <si>
    <t>Other</t>
  </si>
  <si>
    <t>GEL</t>
  </si>
  <si>
    <t>Urban and Municipal Infrastructure</t>
  </si>
  <si>
    <t>Water Infrastructure</t>
  </si>
  <si>
    <t xml:space="preserve">Projects </t>
  </si>
  <si>
    <t>Currency</t>
  </si>
  <si>
    <t>Credit</t>
  </si>
  <si>
    <t>Grant</t>
  </si>
  <si>
    <t>Second Secondary and Local Roads Project (SLRP II) (WB)</t>
  </si>
  <si>
    <t xml:space="preserve"> Adjara Solid Waste Project (EBRD)</t>
  </si>
  <si>
    <t>Second Regional Development Project (Imereti) (WB)</t>
  </si>
  <si>
    <t>Support Programme for Protected Areas in the Caucasus - Georgia (Ecoregional Programme Georgia, Phase III) (KfW)</t>
  </si>
  <si>
    <t xml:space="preserve">Irrigation and Land Market Development Project (WB) </t>
  </si>
  <si>
    <t>Agriculture Modernization, Market Access, and Resilience
(GEF, IFAD)</t>
  </si>
  <si>
    <t>Currency of Loan/Grant</t>
  </si>
  <si>
    <t>East-West Highway Improvement Project (Zestafoni - Kutaisi - Samtredia) (JICA)</t>
  </si>
  <si>
    <t>Rehabilitation of Zemo Samgori Irrigation System (ORIO)</t>
  </si>
  <si>
    <t>Second Regional and Municipal Infrastructure Development Project (WB)</t>
  </si>
  <si>
    <t>Development of Protected Areas (CNF)</t>
  </si>
  <si>
    <t>Road Infrastructure</t>
  </si>
  <si>
    <t>Energy Infrastructure</t>
  </si>
  <si>
    <t>Agriculture Sector</t>
  </si>
  <si>
    <t>Environment Protection</t>
  </si>
  <si>
    <t>TOTAL</t>
  </si>
  <si>
    <t xml:space="preserve">Agreed amount
</t>
  </si>
  <si>
    <t>Project Closing date</t>
  </si>
  <si>
    <t>Comment</t>
  </si>
  <si>
    <t>*The Projects financed under the several financing agreement, that have been concluded in different period of time, the date of the first financing agreement is indicated.</t>
  </si>
  <si>
    <t>Third Regional Development Project (Samtskhe-Javakheti and Mtskheta-Mtianeti) (WB)</t>
  </si>
  <si>
    <t>Kvemo Kartli Solid Waste Project (EBRD, SIDA)</t>
  </si>
  <si>
    <t>National Innovation Ecosystem Project (IBRD)</t>
  </si>
  <si>
    <r>
      <t>*</t>
    </r>
    <r>
      <rPr>
        <sz val="12"/>
        <rFont val="Calibri"/>
        <family val="2"/>
      </rPr>
      <t>*</t>
    </r>
    <r>
      <rPr>
        <sz val="12"/>
        <rFont val="Franklin Gothic Book"/>
        <family val="2"/>
        <scheme val="minor"/>
      </rPr>
      <t xml:space="preserve"> The amount of expenditures made from the commercial bank accounts, may be revised at a later stage.</t>
    </r>
  </si>
  <si>
    <t>East-West Highway Improvement Project (Samtredia-Grigoleti-Kobuleti) (EIB, EU)</t>
  </si>
  <si>
    <t>Kutaisi Solid Waste Project (KfW, EU)</t>
  </si>
  <si>
    <t>Transmission Line Project - 500-220 kv "Jvari - Khorga" (EBRD, KfW, EU)</t>
  </si>
  <si>
    <t>Transmission Grid Strengthening Project - 220kv "Akhaltsikhe - Batumi" (WB)</t>
  </si>
  <si>
    <t>Georgia Urban Reconstruction and Development FL (EIB)</t>
  </si>
  <si>
    <t>Capacity building of the Georgian Armed forces (France - SG)</t>
  </si>
  <si>
    <t>KWD</t>
  </si>
  <si>
    <t>Batumi-Akhaltsikhe Road Project (Khulo-Goderdzi Section) (Kuwait Fund)</t>
  </si>
  <si>
    <t>Sadakhlo - Bagratashen Bridge Project (EBRD)</t>
  </si>
  <si>
    <t>East-West Highway Corridor Improvement Project (Zemo Osiauri - Rikoti) (WB, EIB)</t>
  </si>
  <si>
    <t xml:space="preserve">Rehabilitation of Municipal Infrastructure Facilities in Batumi - Phase IV (KfW, EU) </t>
  </si>
  <si>
    <t>Secondary Road Asset Management Project (WB)</t>
  </si>
  <si>
    <t>First Regional Development Project (Kakheti) (WB)</t>
  </si>
  <si>
    <t xml:space="preserve">Rehabilitation of Municipal Infrastructure Facilities in Batumi - Phase III (KfW, EU-NIF) </t>
  </si>
  <si>
    <t xml:space="preserve">Urban Services Improvement Investment Program (Water Supply and Sewage Sector) (ADB) </t>
  </si>
  <si>
    <t>Supporting Sustainable Wastewater Management (SIDA)</t>
  </si>
  <si>
    <t>Rehabilitation of Tbilisi Public Schools and Energy Efficiency Improvement Project (CEB, E5P)</t>
  </si>
  <si>
    <t>Fourth East-West Highway Improvement Project (Agara - Zemo Osiauri) (WB)</t>
  </si>
  <si>
    <t xml:space="preserve">Batumi New Bypass Road (ADB, AIIB) </t>
  </si>
  <si>
    <t>Road Corridor Investment Program (Kobuleti Bypass Road) (ADB)</t>
  </si>
  <si>
    <t xml:space="preserve"> Total of Expenditures (Actual expenditures) **</t>
  </si>
  <si>
    <t>Georgia Solid Waste Management Project (EBRD)</t>
  </si>
  <si>
    <t>Water Infrastructure Modernisation Project II (EIB, EU)</t>
  </si>
  <si>
    <t>Transmission Line Project - 500 kv "Ksani - Stefanwminda" ( KfW).</t>
  </si>
  <si>
    <t>Georgia Upgrade of Municipal Infrastructure (EIB)</t>
  </si>
  <si>
    <t>Kobuleti Wastewater Project (EBRD, ORET)</t>
  </si>
  <si>
    <t>250MGvar reactor in substation "Zestafoni"(EBRD)</t>
  </si>
  <si>
    <t>Georgian Electricity Sector Development (WB)</t>
  </si>
  <si>
    <t>Millennium Challenge Georgia - Compact II (MCC)</t>
  </si>
  <si>
    <t>Third Secondary and Local Roads Project (SLRP III) (WB)</t>
  </si>
  <si>
    <t xml:space="preserve"> Sustainable Urban Transport Investment Program (ADB)</t>
  </si>
  <si>
    <t>Batumi Bus Project (EBRD, E5P)</t>
  </si>
  <si>
    <r>
      <t>Date of Agreement</t>
    </r>
    <r>
      <rPr>
        <b/>
        <sz val="14"/>
        <color theme="1"/>
        <rFont val="Calibri"/>
        <family val="2"/>
      </rPr>
      <t>*</t>
    </r>
  </si>
  <si>
    <t>Capacity building of the Georgian Armed forces (France - SG) (ongoing)</t>
  </si>
  <si>
    <t>12.06.2017</t>
  </si>
  <si>
    <t>30.06.2023</t>
  </si>
  <si>
    <t xml:space="preserve">Construction of the wastewater treatment plants in Tskaltubo and Telavi (construction works are ongoing). </t>
  </si>
  <si>
    <t>19,06,2017</t>
  </si>
  <si>
    <t>15,10,2015</t>
  </si>
  <si>
    <t xml:space="preserve"> Kutaisi Waste Water (EIB, EPTATF)</t>
  </si>
  <si>
    <t>Construction/Upgrading of Algeti-Sadakhlo Road (EIB)</t>
  </si>
  <si>
    <t>Construction of Poti Bridge on River Rioni (EIB)</t>
  </si>
  <si>
    <t>Construction-Rehabilitation of Chumateleti-Kharagauli section of Secondary Dzirula-Kharagauli-Moliti-Pona-Chumateleti Road (ADB)</t>
  </si>
  <si>
    <t>Construction of Lochini-Sagarejo (km20-km50) section of Tbilisi-Bakurtsikhe-Lagodekhi Road (EIB)</t>
  </si>
  <si>
    <t>Construction of Rustavi-Red Bridge (km22 - km57) section of Tbilisi-Red Bridge (Border of Republic of Azerbaijan) Road (EIB)</t>
  </si>
  <si>
    <t>Construction-Rehabilitation of Dzirula-Argveta section of Tbilisi-Senaki-Leselidze Road (JICA)</t>
  </si>
  <si>
    <t>Construction-Rehabilitation of Ubisa-Dzirula section of Tbilisi-Senaki-Leselidze Road (EIB)</t>
  </si>
  <si>
    <t>Consturction-Rehabilitation of Khevi-Ubisa section of Tbilisi-Senaki-Leselidze Road (ADB)</t>
  </si>
  <si>
    <t>Construction-Rehabilitaion of Chumateleti-Khevi section of Tbilisi-Senaki-Leselidze Road (WB, EIB)</t>
  </si>
  <si>
    <t>Construction of road and tunnel on Kvesheti-Kobi section of Mtskheta-Stepantsminda-Larsi Road (ADB)</t>
  </si>
  <si>
    <t>Construction/Upgrading of Algeti-Sadakhlo Road  (planned)</t>
  </si>
  <si>
    <t>Enguri Hydro  Power Plant Rehabilitation Project  - Climate Resilience Upgrade (EBRD, EU)</t>
  </si>
  <si>
    <t>31,12,2021</t>
  </si>
  <si>
    <t>Small size infrastructural projects in various regions of Georgia (rehabilitation of roads, streets, water-pipes, sewerage system) (construction works are ongoing).</t>
  </si>
  <si>
    <t xml:space="preserve"> -Construction of a new, modern solid waste landfill in Adjara (Kobuleti, near Tsetskhlauri village; Preparatory activities are ongoing); 
 - Closure of the existing solid waste landfill in Batumi (to be closed once a new solid waste landfill becomes operational).</t>
  </si>
  <si>
    <t xml:space="preserve"> -  Rehabilitation of infrastructure in Telavi, Kvareli and Akhmeta (municipal and communal infrastructure, rehabilitation of historical districts) (main works completed); 
 - Rehabilitation and improvement of cultural heritage sites (supportive infrastructure) in the Kakheti region (main works completed); 
 - Support for private sector in Agriculture and Tourism (completed).</t>
  </si>
  <si>
    <t>Rehabilitation of infrastructure and improvement of cultural heritage sites in Samtskhe-Javakheti and Mtskheta-Mtianeti (construction works are ongoing).</t>
  </si>
  <si>
    <t>Construction of new landfill in the Kvemo Kartli Region (in the city of Marneuli) (preparatory works are ongoing).</t>
  </si>
  <si>
    <t>Purchase of a new fleet of solid waste collection vehicles and solid waste containers (ongoing, approximately 150 waste-disposal vehicles and 7200 solid waste containers were purchased and given to municipalities).</t>
  </si>
  <si>
    <t xml:space="preserve"> - Small size infrastructural projects in various regions of Georgia (rehabilitation of roads, streets, water-pipes, sewerage system);
- Rehabilitation/construction of the infrastructure damaged after the flooding in Tbilisi in 2015
(construction works are ongoing)</t>
  </si>
  <si>
    <t xml:space="preserve">Rehabilitation of wastewater collector and treatment plant in Kobuleti (ongoing). </t>
  </si>
  <si>
    <t xml:space="preserve"> -  Rehabilitation of water supply and sewerage systems network in Batumi (activities are partially completed);
 - Construction/rehabilitation of water reservoirs (completed);
 - Construction-rehabilitation of treatment plants (completed); 
 - Creation of a sewerage system in the coastal villages of Adjara, in particular Gonio, Kvariati, Sarfi and Akhalsofeli (completed); 
 -  Modernization of the existing water supply infrastructure and provision of decentralized water supply systems In three villages surrounding Batumi (Chakvi, Mtsvane Kontskhi and Makhinjauri) (ongoing); 
 -Installation of water meters in Batumi (works are ongoing).</t>
  </si>
  <si>
    <t>Rehabilitation and extension of water supply and wastewater system facilities in Batumi (ongoing).</t>
  </si>
  <si>
    <t>Improvement of water supply system in various regions of Georgia (ongoing).</t>
  </si>
  <si>
    <t xml:space="preserve"> - Construction of the electricity lines from the Kavkasioni Transmission Line to the Jvari substation and between the Jvari and the Khorga substations (ongoing);
 -  Construction of Transmission Lines connecting Ksani and Stepantsminda substations (500 Kv) (ongoing) .</t>
  </si>
  <si>
    <t>Constructing of 250 Mgvar capacity reactor in substation "Zestafoni 500" (planned).</t>
  </si>
  <si>
    <t>Construction of high voltage Electricity Transmission Line (220kv) from Akhaltsikhe to Batumi (142km) (ongoing).
At this stage consultations are ongoing with the donor  in order to replace certain works and the completion date within the project, to reflect the changes in the Loan Agreement regarding the project implementation unit due to the merging of the Ministries of Energy and Environmental Protection. The Amendment to the Agreement will be submitted to the Parliament for ratification.</t>
  </si>
  <si>
    <t>Electricity Sector Strategic Environmental and Social Assessment.</t>
  </si>
  <si>
    <t xml:space="preserve">Rehabilitation and Modernisation of irrigation and drainage services in selected areas: Kvemo Samgori Irrigation channel (2200 ha); Tbisi - Kumisi Irrigation channel (2200 ha) and Zeda Ru Irrigation channel  (1319 ha) (ongoing). The estimated cost of project is 30.8 million SDR. </t>
  </si>
  <si>
    <t xml:space="preserve">In several pilot locations  (including Shuakhevi, Vani, Martvili, Mestia, Dedoplistskaro, Gurjaani, Gori, Mtskheta, Tianeti, Tetritskaro) activities regarding land registration are ongoing.  The estimated cost is 1.6 million SDR. </t>
  </si>
  <si>
    <t xml:space="preserve">  Support to:
 - Borjomi-Kharagauli National Park; 
 - Lagodekhi Protected Area; 
 - Vashlovani Protected Area; 
 - Tusheti Protected Area.
(Assessment of Borjomi-Kharagauli's "Sakhvlari" pasture is prepared, Tourism Strategy development for Borjomi-Kharagauli and Javakheti is completed; Small commerce/souvenir stall project in Administration of Borjomi is finished; Article on Javakheti and Lagodekhi for Journal "The Georgian" is finished, which was presented in tourism exhibition in Germany).</t>
  </si>
  <si>
    <t xml:space="preserve">  Creation of:
 - Kazbegi National Park; 
 - Kintrishi Protected Area; 
 - Algeti National Park; 
 - Pshavi-Khevsureti Protected Area.
(Development of tourism Action and Investment plans are ongoing; Development of Management Plan for Algeti National Park has commenced; Tender for demarcation of Pshavi-Khevsureti protected territories is announced; Construction of building for Algeti National Park administration and for visitors has commenced; Construction of building for Kazbegi National Park administration and for visitors has commenced; Arrangement of exhibition hall for Prometheus Cave is ongoing; Development of draft law for the creation of protected landscape in Dusheti municipality is ongoing).</t>
  </si>
  <si>
    <t xml:space="preserve"> -  Rehabilitation of infrastructure in Tskaltubo;
 -  Rehabilitation and improvement of cultural heritage sites in Imereti region (supportive infrastructure) 
(constructions works are ongoing).</t>
  </si>
  <si>
    <t>04.2.2017</t>
  </si>
  <si>
    <t>31.12.2023</t>
  </si>
  <si>
    <t xml:space="preserve"> - The project aims to make improvements to the Enguri HPP to alleviate critical power shortages in Georgia at a low cost and to enhance the environmental benefits of the Enguri HPP facility.
 -  New EBRD loan will also help to improve the climatic conditions on the HPP territory.
 (preparatory works are ongoing).</t>
  </si>
  <si>
    <t>Construction of a new Kobuleti Bypass Road (approximately 32 km) (First section (12.4 + 1.3 km) of the Highway is open for traffic, construction works completed for second section (18 km), traffic is open).</t>
  </si>
  <si>
    <t xml:space="preserve"> Donors’ supported Projects Envisaged in the State Budget</t>
  </si>
  <si>
    <t xml:space="preserve">  - Construction of Batumi Bypass two-lane 14.3 km Road (construction works are ongoing);
 - Maintenance of approximately 200 km International and Local roads (planned).</t>
  </si>
  <si>
    <t>Rehabilitation of secondary and local roads in different regions of Georgia (approx. 225 km in total) (completed).</t>
  </si>
  <si>
    <t>Transmission Line Project -500 kv Tskaltubo -Akhaltsikhe - Tortumi (KfW)</t>
  </si>
  <si>
    <t>North Ring – Tskaltubo (Phase 1) (EBRD, KfW)</t>
  </si>
  <si>
    <t xml:space="preserve"> - Construction of 220kV double-circuit OHL Khudoni-Nenskra;
 - Construction 110kV OHL Khudoni-Mestia;
 - Construction of 125MVA, 110/35kV SS Mestia;
 - Construction of 500/220/110kV SS Khudoni;
 - 500kV OHL Kavkasioni tie-in to SS Khudoni;
 - Construction of 110kV double circuit OHL Kheledula-Jakhunderi;
 - Construction/Extension of 220kV SS Lajanuri
(planned)</t>
  </si>
  <si>
    <t>500Kv OHL Jvari –Tskhaltubo (WB)</t>
  </si>
  <si>
    <t>- Construction of 500kV single-circuit OHL Jvari – Tskhaltubo (approximately 100 Km);
 - Construction of 500kV SS Tskhaltubo
(planned)</t>
  </si>
  <si>
    <t>Reinforcement of Transmission Infrastructure of Guria (KfW)</t>
  </si>
  <si>
    <t xml:space="preserve"> - 220/110kV substation Ozurgeti, 250MVA installed capacity;
 - Double circuit OHL tie-in from 220kV OHL Paliastomi to 220/110kV substation Ozurgeti;
 - Construction of a new 110kV substation in Chokhatauri;
 - Construction of a new double-circuit 110kV line Ozurgeti-Chokhatauri
(planned)</t>
  </si>
  <si>
    <t>Amount envisaged in the State Budget 2019</t>
  </si>
  <si>
    <t>Expenditures made during the Year of 2019
(Actual expenditures) **</t>
  </si>
  <si>
    <t xml:space="preserve"> Energy Efficiency Improvements in Public Buildings and Use Renewables and Alternatuve Energy in Georgia (NEFCO , E5P)</t>
  </si>
  <si>
    <t>Integrated Solid Waste Management  Program II (Kakheti and Samegrelo - Zemo Svaneti.) (KfW)</t>
  </si>
  <si>
    <t>EBRD - Tbilisi Solid Waste Project</t>
  </si>
  <si>
    <t xml:space="preserve"> - Construction of 500kV double-circuit OHL Tskaltubo-Akhaltsikhe)
 - Extension of 500kV substation Akhaltsikhe;
 - Construction of 400kV OHL Akhaltsikhe-Tortum
(planned)</t>
  </si>
  <si>
    <t>Tbilisi Bus Project -  Phasa-II (EBRD, E5P)</t>
  </si>
  <si>
    <t xml:space="preserve">Strengthening Kakheti Infrastructureა (KfW) </t>
  </si>
  <si>
    <t>Kheledula-Lajanuri-Oni (KfW)</t>
  </si>
  <si>
    <t>Planned</t>
  </si>
  <si>
    <t xml:space="preserve"> - Construction of the Agara - Zemo Osiauri Section (approximately 12 km) of the Highway (construction works are completed, 7 km section is open for traffic, the remaining 5 km section will be opened after the completion of construction works on the section of Zemo Osiauri-Chumateleti )
 - Construction of a riverbank protection (approximately 3.4 km) structure (completed);
 - Feasibility study and other preparatory activities (including Second Rikoti Tunnel) for the construction of the Rikoti-Zestafoni Section of Highway (completed).</t>
  </si>
  <si>
    <t xml:space="preserve"> - Construction of Zestafoni - Kutaisi section (15.2 km) (Construction works are ongoing, 14 km section is open for traffic);
 - Construction of a new Kutaisi bypass (Construction works completed for 17.3 km section of the Highway and was opened for traffic in 2014);
 - Construction of a new road from Kutaisi to Samtredia (Construction works are completed and 24 km section is open for traffic).</t>
  </si>
  <si>
    <t>Construction of Lochini-Sagarejo (km20-km50) section of Tbilisi-Bakurtsikhe-Lagodekhi Road  (planned).</t>
  </si>
  <si>
    <t>31.08.2021</t>
  </si>
  <si>
    <t xml:space="preserve">  - Construction of a new solid waste landfill (Kutaisi entrance, Chognari Village) (preparatory works are ongoing); 
 - Purchasing of necessary machinery/equipment for the transportation of solid waste and functioning of the sanitary landfill (planned in 2017);
 - Closure of the existing solid waste landfill in Kutaisi (to be closed once a new solid waste landfill becomes operational).</t>
  </si>
  <si>
    <t xml:space="preserve">  - Rehabilitation of Zugdidi-Mestia road (completed);
 -  Anaklia coastal protection Phase I (Completed);
 - Construction of a new subway station "University" in Tbilisi (completed);
 - Construction of Tbilisi-Rustavi highway  Sections I - II  (completed);
 -  Construction of Tbilisi-Rustavi highway Section  II  (construction works are ongoing); 
 -  Coastal protection of Anaklia Phase II (completed);
 -   Construction of a coastal protection works in Batumi (construction works are ongoing);
 -  Rehabiliotation of subway station in Tbilisi (  replacement of subway electrical and ventilation system) (construction works are ongoing).</t>
  </si>
  <si>
    <t>- Small size infrastructural projects in various regions of Georgia (rehabilitation of roads, streets, water-pipes, sewerage system);
- Rehabilitation/construction of the infrastructure damaged after the flooding in Tbilisi in 2015
(construction works are ongoing)</t>
  </si>
  <si>
    <t xml:space="preserve">  Kutaisi - Construction/rehabilitation of water supply systems and treatment Plant (the procedures of designing of construction works and supervisory service procurement are ongoing).</t>
  </si>
  <si>
    <t xml:space="preserve">  - Rehabilitation of Zemo Samgori Irrigation System.
Project Preparation Stage (Preparation stage for the necessary materials for the preparation of the relevant research and technical, social, environmental and institutional aspects of analysis is completed. The process of closing the project development phase is ongoing).  </t>
  </si>
  <si>
    <t>- Purchasing of buses (diesel and electric). 40 units of diesel buses were purchased and brought to Georgia; 
- Purchasing of electric buses (planned).</t>
  </si>
  <si>
    <t>- Renewing the Solid Waste collection fleet (rear loaded compactor vehicles);
-  Upgrading of the existing solid waste transfer station;
- Rehabilitation and Improvement  of the  leachate system at the  solid waste landfill of Tbilisi.</t>
  </si>
  <si>
    <t>Rehabilitation and Reconstruction of Chiatura's Gondola Lifts (France)</t>
  </si>
  <si>
    <t>Upgrade of Urban Mechanical equipment for reversible gondola ropeways for the city of Chiatura:
 - Gondola ropeway #1 Center - Sanatorium (construction works are ongoing);
 - Gondola ropeway #2 Center - Lezhubani (construction works are ongoing);
 - Gondola ropeway #3 Center - Naguti (construction works are ongoing);
 - Gondola ropeway #4 Center - Mukhadze (construction works are ongoing)</t>
  </si>
  <si>
    <t xml:space="preserve">Rehabilitation of secondary and local roads in different regions of Georgia (approx. 200 km in total) (an additional 12 road will be  rehabilitated within the project (approx. 80 km in total). </t>
  </si>
  <si>
    <t xml:space="preserve">  - Construction of the Zemo Osiauri - Chumateleti Section (approximately 14.1 km) of the Highway ( construction works are ongoing for Lot I, agreement for Lot II was terminated, the discussions with donor  on the extension of the works are ongoing); 
 -  Technical Assistance to the Ministry of Economy and Sustainable Development of Georgia in preparation of Feasibility Study to identify priority logistic sites (completed);
 - Preparation of designs and supporting studies for future investment for the development of the road network (planned).</t>
  </si>
  <si>
    <t xml:space="preserve"> - Construction of a new four lane highway (approx. 52 km) from Samtredia to Grigoleti (construction works are going under the I, II and IV lots, III lot - the agreement was terminated, negotiations with the donor on re-announcement of the tender are ongoing);
 - Road sections of Poti-Grigoleti and Grigoleti-Kobuleti Bypass Road (  preparation of the Detailed Design was completed);</t>
  </si>
  <si>
    <t xml:space="preserve"> To  implement a regional municipal waste management system in Zugdidi (on the existing waste management base) and Gurjaani (village Melaani) that will serve Samegrelo-Zemo Svaneti and Kakheti regions (preparatory works are ongoing).</t>
  </si>
  <si>
    <t xml:space="preserve">Reconstruction - Rehabilitation and necessary efficiency improvements of approximately 25 public schools in Tbilisi. (preparatory works are ongoing). 
</t>
  </si>
  <si>
    <t>Construction of Grigoleti-Choloki (km48 - km64) section of Senaki-Poti-Sarpi Road (EIB)</t>
  </si>
  <si>
    <t xml:space="preserve">Construction of Rustavi-Red Bridge (km22 - km57) section of Tbilisi-Red Bridge (Border of Republic of Azerbaijan) (planned). (The tender  procedures for selecting the  supervision of construction works of Rustavi-Red Bridge (Lot 1 an Lot 2) are ongoing). </t>
  </si>
  <si>
    <t xml:space="preserve"> - Development of a network of Innovation Hubs and Innovation Centers in the various cities and villages of Georgia;
 - Support to increase adoption and use of broadband internet services and advanced information technology by Eligible Households and Eligible MSMEs in rural areas of Georgia;
 - Developing the innovation capacity of individuals and firms.</t>
  </si>
  <si>
    <t>Construction of a new bridge at the Sadakhlo-Bagratashen border crossing between the Republic of Armenia and Georgia  (detailed projectioon works are ongoing).</t>
  </si>
  <si>
    <r>
      <rPr>
        <b/>
        <sz val="12"/>
        <color theme="1"/>
        <rFont val="Franklin Gothic Book"/>
        <family val="2"/>
        <scheme val="minor"/>
      </rPr>
      <t xml:space="preserve"> Repairs/rehabilitation of public schools in the regions of Georgia </t>
    </r>
    <r>
      <rPr>
        <sz val="12"/>
        <rFont val="Franklin Gothic Book"/>
        <family val="2"/>
        <scheme val="minor"/>
      </rPr>
      <t xml:space="preserve">
- Rehabilitation of 86 public schools and equipping  80 public schools  with natural laboratories in Shida Kartli, Samtskhe-Javakheti, Racha-Lechkhumi and Kvemo Svaneti regions (completed); 
- Full rehabilitation of 5 public schools (is ongoing), 4 schools are located in western Georgia and 1  in Kakheti.  
</t>
    </r>
    <r>
      <rPr>
        <b/>
        <sz val="12"/>
        <rFont val="Franklin Gothic Book"/>
        <family val="2"/>
        <scheme val="minor"/>
      </rPr>
      <t>Improvement of  teacher's qualifications</t>
    </r>
    <r>
      <rPr>
        <sz val="12"/>
        <rFont val="Franklin Gothic Book"/>
        <family val="2"/>
        <scheme val="minor"/>
      </rPr>
      <t xml:space="preserve">
- In the framework of general professional training course 17,656  teachers were trained, including 1861 non-georgian language teacher. 12 339  (including 1 104 non-Georgian language teachers) teachers successfully completed all three modules of general professional course. 
- Within the course of the subject methodology (Physics, Mathematics, Biology, Chemistry, English and Information Technology) 14 859 teachers, including 1 229 non-georgian language teachers successfully completed the trainings.
</t>
    </r>
    <r>
      <rPr>
        <b/>
        <sz val="12"/>
        <rFont val="Franklin Gothic Book"/>
        <family val="2"/>
        <scheme val="minor"/>
      </rPr>
      <t>Increase qualification of school directors</t>
    </r>
    <r>
      <rPr>
        <sz val="12"/>
        <rFont val="Franklin Gothic Book"/>
        <family val="2"/>
        <scheme val="minor"/>
      </rPr>
      <t xml:space="preserve">
- 1 820 directors  (including 167 from non-Georgian language schools) successfully completed  the Academy Leadership 1.
-  1 621 directors  (including 182 from non-Georgian language schools) successfully completed  the Academy Leadership 2.
- 1 718 directors  (including 152 from non-Georgian language schools) successfully completed  the Academy Leadership 3.
</t>
    </r>
    <r>
      <rPr>
        <b/>
        <sz val="12"/>
        <rFont val="Franklin Gothic Book"/>
        <family val="2"/>
        <scheme val="minor"/>
      </rPr>
      <t xml:space="preserve">Higher and Vocational  Education </t>
    </r>
    <r>
      <rPr>
        <sz val="12"/>
        <rFont val="Franklin Gothic Book"/>
        <family val="2"/>
        <scheme val="minor"/>
      </rPr>
      <t xml:space="preserve"> 
- Within the framework of the Vocational Education project, 51 new vocational education programs in line with labor market requirements,  in 10 professional institutions were established;  
-  At three Patrinor Universities of Georgia (TSU, TSU, GTU) through  Unified National Test four groups of students were accepted at the San Diego State University, 77 professors at the San Diego State University  passed the professional development/training program, rehabilitation and laboratory equipping of 5000 sq.m academic space has been implemented in partner Georgian State Universities (TSU, TSU, GTU).</t>
    </r>
  </si>
  <si>
    <t>Implementation of energy efficiency activities in public buildings. (Implementation of renewable and alternative energy sources in administrative and educational buildings) (preparatory works are ongoing).</t>
  </si>
  <si>
    <t xml:space="preserve">As of July 31, 2019 (In thousand) </t>
  </si>
  <si>
    <t>Upgrading of approximately 11 km of the existing 2-line East-West Highway Corridor to a  2-line dual carriageway from  Chumateleti to Khevi; (the successful company through the tender process was identified;  the notice on a contract award was issued)
The project will be implemented by EIB co-financing.</t>
  </si>
  <si>
    <t>Construction-Rehabilitaion of Chumateleti-Khevi section of Tbilisi-Senaki-Leselidze Road (construction works are ongoing).</t>
  </si>
  <si>
    <t xml:space="preserve">Consturction-Rehabilitation of Khevi-Ubisa section of Tbilisi-Senaki-Leselidze Road (construction works are ongoing).  </t>
  </si>
  <si>
    <t xml:space="preserve">Construction-Rehabilitation of Dzirula-Argveta section of Tbilisi-Senaki-Leselidze Road. (Tender for construction works was announced. The deadline for submission of tender proposals was extended until the 22nd August of 2019). </t>
  </si>
  <si>
    <t xml:space="preserve">Construction of Grigoleti-Choloki (km48 - km64) section of Senaki-Poti-Sarpi Road  (constructions works are ongoing).  </t>
  </si>
  <si>
    <t>Construction of road and tunnel on Kvesheti-Kobi section of Mtskheta-Stepantsminda-Larsi Road. Road section: (the successful company through the tender process was identified, signing of the contract is scheduled on the 15th of August, 2019; Tunnel section: The letter of acceptance was issued on the 22nd of July, 2019).</t>
  </si>
  <si>
    <t>Construction of Poti Bridge on River Rioni  (Tender on supervision of construction of Poti bridge and access roads has been announced).</t>
  </si>
  <si>
    <t xml:space="preserve"> - Rehabilitation and/or periodic maintenance, technical works of selected secondary road sections in Guria region (planned); 
 - Rehabilitation of selected secondary road sections in Mtskheta - Mtianeti, Racha - Lechkhumi and Shida Kartli regions considering the design and construction conditions (rehabilitation works were completed for one section); 
 -Monitoring and supervision of works contracts (supervision of rehabilitation works of 4 road sections is ongoing).</t>
  </si>
  <si>
    <t xml:space="preserve"> Rehabilitation of secondary road connecting Dzirula-Kharagauli-Moliti-Pona-Chumateleti Road ( Dzirula-Moliti road rehabilitation - the constraction works are ongoing). </t>
  </si>
  <si>
    <t>Rehabilitation-reconstruction of the Khulo-Goderdzi Section of the Batumi-Akhaltsikhe Road Project (approximately 29 km 2 lane road) (Preparatory and mobilization works are ongoing).</t>
  </si>
  <si>
    <t xml:space="preserve">
-Mestia - Construction of Water Intake building (completed);Construction/rehabilitation of water supply and wastewater networks (construction works are completed); Construction of wastewater treatment plant and new reservoir, rehabilitation of existing reservoir (construction works are ongoing);
 -Anaklia - Construction of Water Intake building; Construction/rehabilitation of water supply and wastewater networks (completed); construction of wastewater treatment plant (the storage procedures are ongoing); Construction/projecting of wastewater treatment plant (tendering procedures are ongoing);
-  Kutaisi - Construction/rehabilitation of water supply systems (reservoirs, pumping stations, water distribution network) (construction works are ongoing); 
-  Poti - Construction/rehabilitation of water supply systems (completed); rehabilitation of wastewater network (constructio works are ongoing); rehabilitation of wastewater treatment plant (construction works are ongoing); 
- Ureki - Construction of water supply and wastewater systems (water distribution network, wastewater collector and treatment plant) (construction works are ongoing); 
- Ureki - Construction of wastewater collector and treatment plant (the storage procedures are ongoing);
 - Zugdidi - Construction of water systems (construction works are ongoing);
 - Zugdidi - Construction/rehabilitation of wastewater systems (construction works are ongoing);
 - Zugdidi - Construction of water supply and wastewater systems (the procedures for selection of the design are ongoing);
- Jvari – Construction of Water Supply System (construction works are ongoing);  
- Chiatura - Construction of Water Supply System (construction works are ongoing); 
- Marneuli - Rehabilitation of water supply and wastewater system facilities ( the mobilization works are ongoing);
- Marneuli - wastewater-treatment plant designing and construction (tendering procedures are ongoing); 
- Construction of Abasha main line (constructions works are ongoing);
-  Construction of Water Supply System in Telavi  (tendering procedures are ongoing); 
- Construction water and sewerage systems in Gudauri (project works are ongoing); 
-  Constraction of wastewater treatment plant in Gudauri (project works are ongoing).
</t>
  </si>
  <si>
    <r>
      <rPr>
        <b/>
        <sz val="12"/>
        <rFont val="Franklin Gothic Book"/>
        <family val="2"/>
        <scheme val="minor"/>
      </rPr>
      <t xml:space="preserve">
support for the growth of income of small farmers in various regions of Georgia and  promote investments in the production / processing / sale of agricultural products</t>
    </r>
    <r>
      <rPr>
        <sz val="12"/>
        <rFont val="Franklin Gothic Book"/>
        <family val="2"/>
        <scheme val="minor"/>
      </rPr>
      <t xml:space="preserve">
- 16 demonstration plots (for fruit, vegetables, berry plantation, bay-tree, demonstration plots for conservative agriculture and honey) were arranged in Kakheti, Shida Kartli, Samegrelo, Kazgebi, Racha regions and  Adjara were arranged. 64 trainings (theoretical and practical trainin) were conducted for  2949 participants. 
- 453 small and large size grants were issued (443 for  enterprises and 10 for processing enterprises); 
- Preparation of tender documentation for rehabilitation of Tiriponi  irrigation system distribution network (G-3 distributor's internal network and G-3-2-1) and rehabilitation of its other distribution networks (Shida Kartli, Gori) is ongoing; 
- Construction works are ongoing for the rehabilitation /modernization of Kvemo Alazani Distribution network (G-32 and G-35) and its other distribution networks (Kakheti, Gurjaani);
- Construction works are ongoing for rehabilitation of Saltvisi irrigation system networks (alternative and Dzlevijvari networks ) and internal networks (Shida Kartli, Gori, Kareli);
- Preparaton of detailed project for rehabilitation of Saltvisi irrigation system G-2 distribution network and its other distribution networks (Shida Kartli, Gori, Kareli) is ongoing;
- the contract with contructor company was signed  for the rehabilitation of the reservoir in  Iakublos, the construction works will begin in September, 2019 (Kvemo Kartli, Dmanisi);
- Rehabilitation of roads  in the village of Akhalsopeli  in Khobi municipality was completed,  construction of bridges and roads in the village of Bredza in Kareli municipality is ongoing.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</si>
</sst>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dd\.mm\.yyyy"/>
  </numFmts>
  <fonts count="19">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SPLiteraturuly"/>
    </font>
    <font>
      <sz val="12"/>
      <color theme="1"/>
      <name val="Franklin Gothic Book"/>
      <family val="2"/>
      <scheme val="minor"/>
    </font>
    <font>
      <sz val="12"/>
      <color rgb="FFFF0000"/>
      <name val="Franklin Gothic Book"/>
      <family val="2"/>
      <scheme val="minor"/>
    </font>
    <font>
      <sz val="12"/>
      <name val="Franklin Gothic Book"/>
      <family val="2"/>
      <scheme val="minor"/>
    </font>
    <font>
      <sz val="14"/>
      <name val="Franklin Gothic Book"/>
      <family val="2"/>
      <scheme val="minor"/>
    </font>
    <font>
      <sz val="14"/>
      <color theme="0"/>
      <name val="Franklin Gothic Book"/>
      <family val="2"/>
      <scheme val="minor"/>
    </font>
    <font>
      <b/>
      <sz val="12"/>
      <name val="Franklin Gothic Book"/>
      <family val="2"/>
      <scheme val="minor"/>
    </font>
    <font>
      <sz val="12"/>
      <name val="Calibri"/>
      <family val="2"/>
    </font>
    <font>
      <b/>
      <sz val="14"/>
      <color theme="1"/>
      <name val="Franklin Gothic Book"/>
      <family val="2"/>
      <scheme val="minor"/>
    </font>
    <font>
      <sz val="14"/>
      <color theme="1"/>
      <name val="Franklin Gothic Book"/>
      <family val="2"/>
      <scheme val="minor"/>
    </font>
    <font>
      <b/>
      <sz val="14"/>
      <color theme="1"/>
      <name val="Calibri"/>
      <family val="2"/>
    </font>
    <font>
      <sz val="12"/>
      <color theme="1" tint="0.14999847407452621"/>
      <name val="Franklin Gothic Book"/>
      <family val="2"/>
      <scheme val="minor"/>
    </font>
    <font>
      <b/>
      <sz val="14"/>
      <name val="Franklin Gothic Book"/>
      <family val="2"/>
      <scheme val="minor"/>
    </font>
    <font>
      <sz val="12"/>
      <name val="Franklin Gothic Book"/>
      <family val="1"/>
      <scheme val="minor"/>
    </font>
    <font>
      <b/>
      <sz val="12"/>
      <color theme="1"/>
      <name val="Franklin Gothic Book"/>
      <family val="2"/>
      <scheme val="minor"/>
    </font>
  </fonts>
  <fills count="5">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theme="4" tint="0.59996337778862885"/>
        <bgColor indexed="64"/>
      </patternFill>
    </fill>
  </fills>
  <borders count="5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diagonal/>
    </border>
    <border>
      <left style="thin">
        <color theme="1" tint="0.499984740745262"/>
      </left>
      <right style="thin">
        <color theme="1" tint="0.499984740745262"/>
      </right>
      <top style="medium">
        <color indexed="64"/>
      </top>
      <bottom style="thin">
        <color theme="1" tint="0.499984740745262"/>
      </bottom>
      <diagonal/>
    </border>
    <border>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medium">
        <color indexed="64"/>
      </right>
      <top style="medium">
        <color indexed="64"/>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theme="1" tint="0.499984740745262"/>
      </right>
      <top style="thin">
        <color indexed="64"/>
      </top>
      <bottom style="medium">
        <color indexed="64"/>
      </bottom>
      <diagonal/>
    </border>
    <border>
      <left style="thin">
        <color theme="1" tint="0.499984740745262"/>
      </left>
      <right style="thin">
        <color indexed="64"/>
      </right>
      <top style="medium">
        <color indexed="64"/>
      </top>
      <bottom style="thin">
        <color theme="1" tint="0.499984740745262"/>
      </bottom>
      <diagonal/>
    </border>
    <border>
      <left style="thin">
        <color theme="1" tint="0.499984740745262"/>
      </left>
      <right/>
      <top style="thin">
        <color theme="1" tint="0.499984740745262"/>
      </top>
      <bottom style="medium">
        <color auto="1"/>
      </bottom>
      <diagonal/>
    </border>
    <border>
      <left/>
      <right/>
      <top style="thin">
        <color theme="1" tint="0.499984740745262"/>
      </top>
      <bottom style="medium">
        <color auto="1"/>
      </bottom>
      <diagonal/>
    </border>
    <border>
      <left/>
      <right style="thin">
        <color indexed="64"/>
      </right>
      <top style="thin">
        <color theme="1" tint="0.499984740745262"/>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theme="0" tint="-0.499984740745262"/>
      </right>
      <top style="medium">
        <color indexed="64"/>
      </top>
      <bottom style="dotted">
        <color theme="0" tint="-0.499984740745262"/>
      </bottom>
      <diagonal/>
    </border>
    <border>
      <left style="dotted">
        <color theme="0" tint="-0.499984740745262"/>
      </left>
      <right style="dotted">
        <color theme="0" tint="-0.499984740745262"/>
      </right>
      <top style="medium">
        <color indexed="64"/>
      </top>
      <bottom style="dotted">
        <color theme="0" tint="-0.499984740745262"/>
      </bottom>
      <diagonal/>
    </border>
    <border>
      <left style="dotted">
        <color theme="0" tint="-0.499984740745262"/>
      </left>
      <right style="medium">
        <color indexed="64"/>
      </right>
      <top style="medium">
        <color indexed="64"/>
      </top>
      <bottom style="dotted">
        <color theme="0" tint="-0.499984740745262"/>
      </bottom>
      <diagonal/>
    </border>
    <border>
      <left style="medium">
        <color indexed="64"/>
      </left>
      <right style="dotted">
        <color theme="0" tint="-0.499984740745262"/>
      </right>
      <top style="dotted">
        <color theme="0" tint="-0.499984740745262"/>
      </top>
      <bottom style="dotted">
        <color theme="0" tint="-0.499984740745262"/>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theme="0" tint="-0.499984740745262"/>
      </left>
      <right style="medium">
        <color indexed="64"/>
      </right>
      <top style="dotted">
        <color theme="0" tint="-0.499984740745262"/>
      </top>
      <bottom style="dotted">
        <color theme="0" tint="-0.499984740745262"/>
      </bottom>
      <diagonal/>
    </border>
    <border>
      <left style="medium">
        <color indexed="64"/>
      </left>
      <right style="dotted">
        <color theme="0" tint="-0.499984740745262"/>
      </right>
      <top style="dotted">
        <color theme="0" tint="-0.499984740745262"/>
      </top>
      <bottom style="medium">
        <color indexed="64"/>
      </bottom>
      <diagonal/>
    </border>
    <border>
      <left style="dotted">
        <color theme="0" tint="-0.499984740745262"/>
      </left>
      <right style="dotted">
        <color theme="0" tint="-0.499984740745262"/>
      </right>
      <top style="dotted">
        <color theme="0" tint="-0.499984740745262"/>
      </top>
      <bottom style="medium">
        <color indexed="64"/>
      </bottom>
      <diagonal/>
    </border>
    <border>
      <left style="dotted">
        <color theme="0" tint="-0.499984740745262"/>
      </left>
      <right style="medium">
        <color indexed="64"/>
      </right>
      <top style="dotted">
        <color theme="0" tint="-0.499984740745262"/>
      </top>
      <bottom style="medium">
        <color indexed="64"/>
      </bottom>
      <diagonal/>
    </border>
    <border>
      <left style="dotted">
        <color theme="1" tint="4.9989318521683403E-2"/>
      </left>
      <right style="dotted">
        <color theme="1" tint="4.9989318521683403E-2"/>
      </right>
      <top style="medium">
        <color indexed="64"/>
      </top>
      <bottom style="dotted">
        <color theme="1" tint="4.9989318521683403E-2"/>
      </bottom>
      <diagonal/>
    </border>
    <border>
      <left style="dotted">
        <color theme="1" tint="4.9989318521683403E-2"/>
      </left>
      <right style="dotted">
        <color theme="1" tint="4.9989318521683403E-2"/>
      </right>
      <top style="dotted">
        <color theme="1" tint="4.9989318521683403E-2"/>
      </top>
      <bottom style="dotted">
        <color theme="1" tint="4.9989318521683403E-2"/>
      </bottom>
      <diagonal/>
    </border>
    <border>
      <left style="dotted">
        <color theme="0" tint="-0.499984740745262"/>
      </left>
      <right style="dotted">
        <color theme="0" tint="-0.499984740745262"/>
      </right>
      <top style="dotted">
        <color theme="0" tint="-0.499984740745262"/>
      </top>
      <bottom/>
      <diagonal/>
    </border>
    <border>
      <left style="dotted">
        <color theme="0" tint="-0.499984740745262"/>
      </left>
      <right style="dotted">
        <color theme="0" tint="-0.499984740745262"/>
      </right>
      <top/>
      <bottom/>
      <diagonal/>
    </border>
    <border>
      <left style="dotted">
        <color theme="0" tint="-0.499984740745262"/>
      </left>
      <right style="dotted">
        <color theme="0" tint="-0.499984740745262"/>
      </right>
      <top/>
      <bottom style="dotted">
        <color theme="0" tint="-0.499984740745262"/>
      </bottom>
      <diagonal/>
    </border>
    <border>
      <left style="medium">
        <color indexed="64"/>
      </left>
      <right style="dotted">
        <color theme="0" tint="-0.499984740745262"/>
      </right>
      <top style="dotted">
        <color theme="0" tint="-0.499984740745262"/>
      </top>
      <bottom/>
      <diagonal/>
    </border>
    <border>
      <left style="medium">
        <color indexed="64"/>
      </left>
      <right style="dotted">
        <color theme="0" tint="-0.499984740745262"/>
      </right>
      <top/>
      <bottom style="dotted">
        <color theme="0" tint="-0.499984740745262"/>
      </bottom>
      <diagonal/>
    </border>
    <border>
      <left style="dotted">
        <color theme="0" tint="-0.499984740745262"/>
      </left>
      <right style="medium">
        <color indexed="64"/>
      </right>
      <top style="dotted">
        <color theme="0" tint="-0.499984740745262"/>
      </top>
      <bottom/>
      <diagonal/>
    </border>
    <border>
      <left style="dotted">
        <color theme="0" tint="-0.499984740745262"/>
      </left>
      <right style="medium">
        <color indexed="64"/>
      </right>
      <top/>
      <bottom style="dotted">
        <color theme="0" tint="-0.499984740745262"/>
      </bottom>
      <diagonal/>
    </border>
    <border>
      <left style="dotted">
        <color theme="1" tint="4.9989318521683403E-2"/>
      </left>
      <right style="dotted">
        <color theme="1" tint="4.9989318521683403E-2"/>
      </right>
      <top style="dotted">
        <color theme="1" tint="4.9989318521683403E-2"/>
      </top>
      <bottom style="medium">
        <color indexed="64"/>
      </bottom>
      <diagonal/>
    </border>
    <border>
      <left style="dashed">
        <color theme="0" tint="-0.34998626667073579"/>
      </left>
      <right/>
      <top style="dashed">
        <color theme="0" tint="-0.34998626667073579"/>
      </top>
      <bottom/>
      <diagonal/>
    </border>
    <border>
      <left style="medium">
        <color indexed="64"/>
      </left>
      <right style="dotted">
        <color theme="0" tint="-0.499984740745262"/>
      </right>
      <top style="dotted">
        <color theme="0" tint="-0.499984740745262"/>
      </top>
      <bottom style="thin">
        <color indexed="64"/>
      </bottom>
      <diagonal/>
    </border>
    <border>
      <left style="dotted">
        <color theme="0" tint="-0.499984740745262"/>
      </left>
      <right style="dotted">
        <color theme="0" tint="-0.499984740745262"/>
      </right>
      <top style="dotted">
        <color theme="0" tint="-0.499984740745262"/>
      </top>
      <bottom style="thin">
        <color indexed="64"/>
      </bottom>
      <diagonal/>
    </border>
    <border>
      <left style="dotted">
        <color theme="0" tint="-0.499984740745262"/>
      </left>
      <right style="medium">
        <color indexed="64"/>
      </right>
      <top style="dotted">
        <color theme="0" tint="-0.499984740745262"/>
      </top>
      <bottom style="thin">
        <color indexed="64"/>
      </bottom>
      <diagonal/>
    </border>
    <border>
      <left style="dotted">
        <color theme="1" tint="4.9989318521683403E-2"/>
      </left>
      <right style="dotted">
        <color theme="1" tint="4.9989318521683403E-2"/>
      </right>
      <top style="dotted">
        <color theme="1" tint="4.9989318521683403E-2"/>
      </top>
      <bottom/>
      <diagonal/>
    </border>
    <border>
      <left style="dotted">
        <color theme="1" tint="4.9989318521683403E-2"/>
      </left>
      <right style="dotted">
        <color theme="1" tint="4.9989318521683403E-2"/>
      </right>
      <top/>
      <bottom style="dotted">
        <color theme="1" tint="4.9989318521683403E-2"/>
      </bottom>
      <diagonal/>
    </border>
    <border>
      <left style="dotted">
        <color theme="0" tint="-0.499984740745262"/>
      </left>
      <right style="medium">
        <color indexed="64"/>
      </right>
      <top style="medium">
        <color indexed="64"/>
      </top>
      <bottom/>
      <diagonal/>
    </border>
    <border>
      <left style="dotted">
        <color theme="0" tint="-0.499984740745262"/>
      </left>
      <right style="medium">
        <color indexed="64"/>
      </right>
      <top/>
      <bottom/>
      <diagonal/>
    </border>
  </borders>
  <cellStyleXfs count="19">
    <xf numFmtId="0" fontId="0" fillId="0" borderId="0"/>
    <xf numFmtId="0" fontId="2"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3"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cellStyleXfs>
  <cellXfs count="228">
    <xf numFmtId="0" fontId="0" fillId="0" borderId="0" xfId="0"/>
    <xf numFmtId="0" fontId="7" fillId="0" borderId="0" xfId="1" applyFont="1" applyFill="1" applyBorder="1" applyAlignment="1">
      <alignment vertical="center"/>
    </xf>
    <xf numFmtId="0" fontId="7" fillId="0" borderId="0" xfId="1" applyFont="1" applyFill="1" applyBorder="1" applyAlignment="1">
      <alignment vertical="center" wrapText="1"/>
    </xf>
    <xf numFmtId="0" fontId="7" fillId="0" borderId="0" xfId="1" applyFont="1" applyFill="1" applyBorder="1" applyAlignment="1">
      <alignment horizontal="left" vertical="center"/>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8" fillId="0" borderId="0" xfId="1" applyFont="1" applyFill="1" applyBorder="1" applyAlignment="1">
      <alignment vertical="center"/>
    </xf>
    <xf numFmtId="0" fontId="9" fillId="0" borderId="0" xfId="1" applyFont="1" applyFill="1" applyBorder="1" applyAlignment="1">
      <alignment vertical="center"/>
    </xf>
    <xf numFmtId="0" fontId="10" fillId="0" borderId="0" xfId="1" applyFont="1" applyFill="1" applyBorder="1" applyAlignment="1" applyProtection="1">
      <alignment horizontal="left" vertical="center" wrapText="1"/>
      <protection locked="0"/>
    </xf>
    <xf numFmtId="0" fontId="6" fillId="0" borderId="0" xfId="1" applyFont="1" applyFill="1" applyBorder="1" applyAlignment="1">
      <alignment vertical="center"/>
    </xf>
    <xf numFmtId="0" fontId="10" fillId="0" borderId="0" xfId="1" applyFont="1" applyFill="1" applyBorder="1" applyAlignment="1" applyProtection="1">
      <alignment horizontal="left" vertical="center" wrapText="1" readingOrder="1"/>
      <protection locked="0"/>
    </xf>
    <xf numFmtId="164" fontId="7" fillId="0" borderId="0" xfId="1" applyNumberFormat="1" applyFont="1" applyFill="1" applyBorder="1" applyAlignment="1">
      <alignment vertical="center"/>
    </xf>
    <xf numFmtId="164" fontId="5" fillId="0" borderId="0" xfId="1" applyNumberFormat="1" applyFont="1" applyFill="1" applyBorder="1" applyAlignment="1">
      <alignment vertical="center"/>
    </xf>
    <xf numFmtId="49" fontId="7" fillId="0" borderId="0" xfId="11" applyNumberFormat="1" applyFont="1" applyFill="1" applyBorder="1" applyAlignment="1">
      <alignment vertical="center"/>
    </xf>
    <xf numFmtId="165" fontId="5" fillId="0" borderId="32" xfId="1" applyNumberFormat="1" applyFont="1" applyFill="1" applyBorder="1" applyAlignment="1">
      <alignment horizontal="center" vertical="center" wrapText="1"/>
    </xf>
    <xf numFmtId="0" fontId="12" fillId="0" borderId="0" xfId="1" applyFont="1" applyFill="1" applyBorder="1" applyAlignment="1">
      <alignment vertical="center"/>
    </xf>
    <xf numFmtId="0" fontId="12" fillId="0" borderId="0" xfId="1" applyFont="1" applyFill="1" applyBorder="1" applyAlignment="1">
      <alignment vertical="center" wrapText="1"/>
    </xf>
    <xf numFmtId="164" fontId="12" fillId="0" borderId="0" xfId="1" applyNumberFormat="1" applyFont="1" applyFill="1" applyBorder="1" applyAlignment="1">
      <alignment vertical="center"/>
    </xf>
    <xf numFmtId="15" fontId="5" fillId="2" borderId="0" xfId="1" applyNumberFormat="1" applyFont="1" applyFill="1" applyBorder="1" applyAlignment="1">
      <alignment vertical="center"/>
    </xf>
    <xf numFmtId="15" fontId="5" fillId="0" borderId="0" xfId="1" applyNumberFormat="1" applyFont="1" applyFill="1" applyBorder="1" applyAlignment="1">
      <alignment vertical="center" wrapText="1"/>
    </xf>
    <xf numFmtId="15" fontId="5" fillId="0" borderId="0" xfId="1" applyNumberFormat="1" applyFont="1" applyFill="1" applyBorder="1" applyAlignment="1">
      <alignment vertical="center"/>
    </xf>
    <xf numFmtId="0" fontId="5" fillId="3" borderId="1" xfId="1" applyFont="1" applyFill="1" applyBorder="1" applyAlignment="1">
      <alignment horizontal="center" vertical="center"/>
    </xf>
    <xf numFmtId="0" fontId="5" fillId="3" borderId="0" xfId="1" applyFont="1" applyFill="1" applyBorder="1" applyAlignment="1">
      <alignment vertical="center" wrapText="1"/>
    </xf>
    <xf numFmtId="0" fontId="13" fillId="3" borderId="0" xfId="1" applyNumberFormat="1" applyFont="1" applyFill="1" applyBorder="1" applyAlignment="1">
      <alignment horizontal="center" vertical="center" wrapText="1"/>
    </xf>
    <xf numFmtId="164" fontId="12" fillId="4" borderId="13"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43" fontId="5" fillId="0" borderId="32" xfId="11" applyFont="1" applyFill="1" applyBorder="1" applyAlignment="1">
      <alignment horizontal="center" vertical="center"/>
    </xf>
    <xf numFmtId="165" fontId="5" fillId="2" borderId="32" xfId="1" applyNumberFormat="1" applyFont="1" applyFill="1" applyBorder="1" applyAlignment="1">
      <alignment horizontal="center" vertical="center" wrapText="1"/>
    </xf>
    <xf numFmtId="0" fontId="5" fillId="0" borderId="34" xfId="1" applyFont="1" applyFill="1" applyBorder="1" applyAlignment="1">
      <alignment horizontal="left" vertical="center" wrapText="1"/>
    </xf>
    <xf numFmtId="165" fontId="5" fillId="0" borderId="35" xfId="1" applyNumberFormat="1" applyFont="1" applyFill="1" applyBorder="1" applyAlignment="1">
      <alignment horizontal="center" vertical="center" wrapText="1"/>
    </xf>
    <xf numFmtId="164" fontId="5" fillId="0" borderId="35" xfId="1" applyNumberFormat="1" applyFont="1" applyFill="1" applyBorder="1" applyAlignment="1">
      <alignment horizontal="center" vertical="center"/>
    </xf>
    <xf numFmtId="164" fontId="5" fillId="0" borderId="37" xfId="1" applyNumberFormat="1" applyFont="1" applyFill="1" applyBorder="1" applyAlignment="1">
      <alignment horizontal="center" vertical="center"/>
    </xf>
    <xf numFmtId="164" fontId="5" fillId="0" borderId="38" xfId="1" quotePrefix="1" applyNumberFormat="1" applyFont="1" applyFill="1" applyBorder="1" applyAlignment="1">
      <alignment horizontal="center" vertical="center"/>
    </xf>
    <xf numFmtId="164" fontId="5" fillId="2" borderId="38" xfId="1" applyNumberFormat="1" applyFont="1" applyFill="1" applyBorder="1" applyAlignment="1">
      <alignment horizontal="center" vertical="center"/>
    </xf>
    <xf numFmtId="43" fontId="5" fillId="0" borderId="38" xfId="11" applyFont="1" applyFill="1" applyBorder="1" applyAlignment="1">
      <alignment horizontal="center" vertical="center"/>
    </xf>
    <xf numFmtId="164" fontId="12" fillId="3" borderId="23" xfId="1" applyNumberFormat="1" applyFont="1" applyFill="1" applyBorder="1" applyAlignment="1">
      <alignment horizontal="center" vertical="center"/>
    </xf>
    <xf numFmtId="164" fontId="5" fillId="2" borderId="35" xfId="1" applyNumberFormat="1" applyFont="1" applyFill="1" applyBorder="1" applyAlignment="1">
      <alignment horizontal="center" vertical="center"/>
    </xf>
    <xf numFmtId="164" fontId="12" fillId="3" borderId="24" xfId="1" applyNumberFormat="1" applyFont="1" applyFill="1" applyBorder="1" applyAlignment="1">
      <alignment horizontal="center" vertical="center"/>
    </xf>
    <xf numFmtId="165" fontId="5" fillId="2" borderId="29" xfId="1" applyNumberFormat="1" applyFont="1" applyFill="1" applyBorder="1" applyAlignment="1">
      <alignment horizontal="center" vertical="center" wrapText="1"/>
    </xf>
    <xf numFmtId="165" fontId="5" fillId="0" borderId="29" xfId="1" applyNumberFormat="1" applyFont="1" applyFill="1" applyBorder="1" applyAlignment="1">
      <alignment horizontal="center" vertical="center"/>
    </xf>
    <xf numFmtId="165" fontId="5" fillId="2" borderId="32"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xf>
    <xf numFmtId="165" fontId="5" fillId="2" borderId="35" xfId="1" applyNumberFormat="1" applyFont="1" applyFill="1" applyBorder="1" applyAlignment="1">
      <alignment horizontal="center" vertical="center" wrapText="1"/>
    </xf>
    <xf numFmtId="3" fontId="12" fillId="0" borderId="0" xfId="1" applyNumberFormat="1" applyFont="1" applyFill="1" applyBorder="1" applyAlignment="1">
      <alignment horizontal="right" vertical="center"/>
    </xf>
    <xf numFmtId="164" fontId="12" fillId="0" borderId="0" xfId="1" applyNumberFormat="1" applyFont="1" applyFill="1" applyBorder="1" applyAlignment="1">
      <alignment horizontal="center" vertical="center" wrapText="1"/>
    </xf>
    <xf numFmtId="0" fontId="13" fillId="0" borderId="0" xfId="1" applyFont="1" applyFill="1" applyBorder="1" applyAlignment="1">
      <alignment vertical="center"/>
    </xf>
    <xf numFmtId="164" fontId="12" fillId="0" borderId="0"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164" fontId="7" fillId="0" borderId="32" xfId="1" applyNumberFormat="1" applyFont="1" applyFill="1" applyBorder="1" applyAlignment="1">
      <alignment horizontal="center" vertical="center"/>
    </xf>
    <xf numFmtId="0" fontId="5" fillId="2" borderId="31" xfId="1" applyFont="1" applyFill="1" applyBorder="1" applyAlignment="1">
      <alignment horizontal="left" vertical="center" wrapText="1"/>
    </xf>
    <xf numFmtId="165" fontId="5"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164" fontId="5" fillId="2" borderId="32"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0" fontId="5" fillId="0" borderId="28" xfId="1" applyFont="1" applyFill="1" applyBorder="1" applyAlignment="1">
      <alignment horizontal="left" vertical="center" wrapText="1"/>
    </xf>
    <xf numFmtId="0" fontId="5" fillId="0" borderId="31" xfId="1" applyFont="1" applyFill="1" applyBorder="1" applyAlignment="1">
      <alignment horizontal="left" vertical="center" wrapText="1"/>
    </xf>
    <xf numFmtId="165" fontId="5" fillId="0" borderId="29" xfId="1" applyNumberFormat="1" applyFont="1" applyFill="1" applyBorder="1" applyAlignment="1">
      <alignment horizontal="center" vertical="center" wrapText="1"/>
    </xf>
    <xf numFmtId="0" fontId="5" fillId="0" borderId="31" xfId="4" applyFont="1" applyFill="1" applyBorder="1" applyAlignment="1">
      <alignment horizontal="left" vertical="center" wrapText="1"/>
    </xf>
    <xf numFmtId="164" fontId="5" fillId="2" borderId="29" xfId="1" applyNumberFormat="1" applyFont="1" applyFill="1" applyBorder="1" applyAlignment="1">
      <alignment horizontal="center" vertical="center"/>
    </xf>
    <xf numFmtId="0" fontId="7" fillId="0" borderId="31" xfId="1" applyFont="1" applyFill="1" applyBorder="1" applyAlignment="1">
      <alignment horizontal="left" vertical="center" wrapText="1"/>
    </xf>
    <xf numFmtId="0" fontId="7" fillId="0" borderId="31" xfId="4" applyFont="1" applyFill="1" applyBorder="1" applyAlignment="1">
      <alignment horizontal="left" vertical="center" wrapText="1"/>
    </xf>
    <xf numFmtId="164" fontId="5" fillId="0" borderId="46" xfId="1" applyNumberFormat="1" applyFont="1" applyFill="1" applyBorder="1" applyAlignment="1">
      <alignment horizontal="center" vertical="center"/>
    </xf>
    <xf numFmtId="43" fontId="5" fillId="0" borderId="46" xfId="11" applyFont="1" applyFill="1" applyBorder="1" applyAlignment="1">
      <alignment horizontal="center" vertical="center"/>
    </xf>
    <xf numFmtId="164" fontId="5" fillId="0" borderId="29" xfId="1" applyNumberFormat="1" applyFont="1" applyFill="1" applyBorder="1" applyAlignment="1">
      <alignment horizontal="center" vertical="center"/>
    </xf>
    <xf numFmtId="165" fontId="6" fillId="0" borderId="32" xfId="1" applyNumberFormat="1" applyFont="1" applyFill="1" applyBorder="1" applyAlignment="1">
      <alignment horizontal="center" vertical="center" wrapText="1"/>
    </xf>
    <xf numFmtId="164" fontId="6" fillId="0" borderId="32" xfId="1" applyNumberFormat="1" applyFont="1" applyFill="1" applyBorder="1" applyAlignment="1">
      <alignment horizontal="center" vertical="center"/>
    </xf>
    <xf numFmtId="164" fontId="7" fillId="0" borderId="37" xfId="1" applyNumberFormat="1" applyFont="1" applyFill="1" applyBorder="1" applyAlignment="1">
      <alignment horizontal="center" vertical="center"/>
    </xf>
    <xf numFmtId="164" fontId="7" fillId="0" borderId="35"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46" xfId="1" applyNumberFormat="1" applyFont="1" applyFill="1" applyBorder="1" applyAlignment="1">
      <alignment horizontal="center" vertical="center"/>
    </xf>
    <xf numFmtId="164" fontId="6" fillId="0" borderId="29"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5" fontId="7" fillId="2" borderId="32" xfId="1" applyNumberFormat="1" applyFont="1" applyFill="1" applyBorder="1" applyAlignment="1">
      <alignment horizontal="center" vertical="center" wrapText="1"/>
    </xf>
    <xf numFmtId="164" fontId="7" fillId="2" borderId="32" xfId="1" applyNumberFormat="1" applyFont="1" applyFill="1" applyBorder="1" applyAlignment="1">
      <alignment horizontal="center" vertical="center"/>
    </xf>
    <xf numFmtId="0" fontId="7" fillId="0" borderId="31" xfId="1" applyFont="1" applyFill="1" applyBorder="1" applyAlignment="1">
      <alignment vertical="center" wrapText="1"/>
    </xf>
    <xf numFmtId="164" fontId="7" fillId="0" borderId="32"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0" fontId="7" fillId="0" borderId="31" xfId="1" applyFont="1" applyFill="1" applyBorder="1" applyAlignment="1">
      <alignment horizontal="left" vertical="center" wrapText="1"/>
    </xf>
    <xf numFmtId="164" fontId="7" fillId="0" borderId="29" xfId="1" applyNumberFormat="1" applyFont="1" applyFill="1" applyBorder="1" applyAlignment="1">
      <alignment horizontal="center" vertical="center"/>
    </xf>
    <xf numFmtId="49" fontId="7" fillId="0" borderId="33" xfId="1" applyNumberFormat="1" applyFont="1" applyFill="1" applyBorder="1" applyAlignment="1">
      <alignment horizontal="left" vertical="center" wrapText="1"/>
    </xf>
    <xf numFmtId="49" fontId="8" fillId="0" borderId="0" xfId="11" applyNumberFormat="1" applyFont="1" applyFill="1" applyBorder="1" applyAlignment="1">
      <alignment vertical="center"/>
    </xf>
    <xf numFmtId="49" fontId="7" fillId="3" borderId="2" xfId="12" applyNumberFormat="1" applyFont="1" applyFill="1" applyBorder="1" applyAlignment="1">
      <alignment horizontal="center" vertical="center" wrapText="1"/>
    </xf>
    <xf numFmtId="49" fontId="16" fillId="4" borderId="2" xfId="1" applyNumberFormat="1" applyFont="1" applyFill="1" applyBorder="1" applyAlignment="1">
      <alignment horizontal="center" vertical="center"/>
    </xf>
    <xf numFmtId="49" fontId="7" fillId="0" borderId="36" xfId="1" applyNumberFormat="1" applyFont="1" applyFill="1" applyBorder="1" applyAlignment="1">
      <alignment horizontal="left" vertical="center" wrapText="1"/>
    </xf>
    <xf numFmtId="49" fontId="7" fillId="0" borderId="30" xfId="1" applyNumberFormat="1" applyFont="1" applyFill="1" applyBorder="1" applyAlignment="1">
      <alignment horizontal="left" vertical="center" wrapText="1"/>
    </xf>
    <xf numFmtId="49" fontId="16" fillId="3" borderId="22" xfId="1" applyNumberFormat="1" applyFont="1" applyFill="1" applyBorder="1" applyAlignment="1">
      <alignment horizontal="center" vertical="center"/>
    </xf>
    <xf numFmtId="49" fontId="16" fillId="3" borderId="27" xfId="1" applyNumberFormat="1" applyFont="1" applyFill="1" applyBorder="1" applyAlignment="1">
      <alignment horizontal="center" vertical="center"/>
    </xf>
    <xf numFmtId="164" fontId="6" fillId="2" borderId="32" xfId="1" applyNumberFormat="1" applyFont="1" applyFill="1" applyBorder="1" applyAlignment="1">
      <alignment horizontal="center" vertical="center"/>
    </xf>
    <xf numFmtId="0" fontId="7" fillId="0" borderId="28" xfId="1" applyFont="1" applyFill="1" applyBorder="1" applyAlignment="1">
      <alignment horizontal="left" vertical="center" wrapText="1"/>
    </xf>
    <xf numFmtId="165" fontId="7" fillId="0" borderId="29" xfId="1" applyNumberFormat="1" applyFont="1" applyFill="1" applyBorder="1" applyAlignment="1">
      <alignment horizontal="center" vertical="center" wrapText="1"/>
    </xf>
    <xf numFmtId="49" fontId="6" fillId="0" borderId="47" xfId="1" applyNumberFormat="1" applyFont="1" applyFill="1" applyBorder="1" applyAlignment="1">
      <alignment horizontal="left" vertical="center" wrapText="1"/>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0" borderId="41" xfId="1" applyNumberFormat="1" applyFont="1" applyFill="1" applyBorder="1" applyAlignment="1">
      <alignment horizontal="center" vertical="center"/>
    </xf>
    <xf numFmtId="0" fontId="5" fillId="0" borderId="31" xfId="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165" fontId="5" fillId="0" borderId="41" xfId="1" applyNumberFormat="1" applyFont="1" applyFill="1" applyBorder="1" applyAlignment="1">
      <alignment horizontal="center" vertical="center" wrapText="1"/>
    </xf>
    <xf numFmtId="0" fontId="7" fillId="0" borderId="31" xfId="1" applyFont="1" applyFill="1" applyBorder="1" applyAlignment="1">
      <alignment horizontal="left" vertical="center" wrapText="1"/>
    </xf>
    <xf numFmtId="165" fontId="7" fillId="0" borderId="39" xfId="1" applyNumberFormat="1" applyFont="1" applyFill="1" applyBorder="1" applyAlignment="1">
      <alignment horizontal="center" vertical="center" wrapText="1"/>
    </xf>
    <xf numFmtId="164" fontId="7" fillId="0" borderId="39" xfId="1" applyNumberFormat="1" applyFont="1" applyFill="1" applyBorder="1" applyAlignment="1">
      <alignment horizontal="center" vertical="center"/>
    </xf>
    <xf numFmtId="49" fontId="7" fillId="0" borderId="44" xfId="1" applyNumberFormat="1" applyFont="1" applyFill="1" applyBorder="1" applyAlignment="1">
      <alignment horizontal="left" vertical="center" wrapText="1"/>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29"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0" borderId="39"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164" fontId="5" fillId="2" borderId="32" xfId="1" applyNumberFormat="1" applyFont="1" applyFill="1" applyBorder="1" applyAlignment="1">
      <alignment horizontal="center" vertical="center"/>
    </xf>
    <xf numFmtId="0" fontId="5" fillId="0" borderId="31" xfId="1" applyFont="1" applyFill="1" applyBorder="1" applyAlignment="1">
      <alignment horizontal="left" vertical="center" wrapText="1"/>
    </xf>
    <xf numFmtId="164" fontId="5" fillId="0" borderId="38" xfId="1" applyNumberFormat="1" applyFont="1" applyFill="1" applyBorder="1" applyAlignment="1">
      <alignment horizontal="center" vertical="center"/>
    </xf>
    <xf numFmtId="0" fontId="5" fillId="0" borderId="31" xfId="4" applyFont="1" applyFill="1" applyBorder="1" applyAlignment="1">
      <alignment horizontal="left" vertical="center" wrapText="1"/>
    </xf>
    <xf numFmtId="164" fontId="7" fillId="0" borderId="38" xfId="1" applyNumberFormat="1" applyFont="1" applyFill="1" applyBorder="1" applyAlignment="1">
      <alignment horizontal="center" vertical="center"/>
    </xf>
    <xf numFmtId="0" fontId="7" fillId="0" borderId="31" xfId="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165" fontId="5" fillId="0" borderId="38" xfId="1" applyNumberFormat="1" applyFont="1" applyFill="1" applyBorder="1" applyAlignment="1">
      <alignment horizontal="center" vertical="center" wrapText="1"/>
    </xf>
    <xf numFmtId="165" fontId="15" fillId="2" borderId="38" xfId="1" applyNumberFormat="1" applyFont="1" applyFill="1" applyBorder="1" applyAlignment="1">
      <alignment horizontal="center" vertical="center" wrapText="1"/>
    </xf>
    <xf numFmtId="165" fontId="5" fillId="0" borderId="46" xfId="1" applyNumberFormat="1" applyFont="1" applyFill="1" applyBorder="1" applyAlignment="1">
      <alignment horizontal="center" vertical="center" wrapText="1"/>
    </xf>
    <xf numFmtId="164" fontId="17" fillId="0" borderId="32" xfId="1" applyNumberFormat="1" applyFont="1" applyFill="1" applyBorder="1" applyAlignment="1">
      <alignment horizontal="center" vertical="center"/>
    </xf>
    <xf numFmtId="43" fontId="5" fillId="0" borderId="39" xfId="11" applyFont="1" applyFill="1" applyBorder="1" applyAlignment="1">
      <alignment horizontal="center" vertical="center"/>
    </xf>
    <xf numFmtId="0" fontId="5" fillId="0" borderId="48" xfId="1" applyFont="1" applyFill="1" applyBorder="1" applyAlignment="1">
      <alignment horizontal="left" vertical="center" wrapText="1"/>
    </xf>
    <xf numFmtId="165" fontId="5" fillId="0" borderId="49" xfId="1" applyNumberFormat="1" applyFont="1" applyFill="1" applyBorder="1" applyAlignment="1">
      <alignment horizontal="center" vertical="center" wrapText="1"/>
    </xf>
    <xf numFmtId="164" fontId="5" fillId="0" borderId="49" xfId="1" applyNumberFormat="1" applyFont="1" applyFill="1" applyBorder="1" applyAlignment="1">
      <alignment horizontal="center" vertical="center"/>
    </xf>
    <xf numFmtId="164" fontId="7" fillId="0" borderId="49" xfId="1" applyNumberFormat="1" applyFont="1" applyFill="1" applyBorder="1" applyAlignment="1">
      <alignment horizontal="center" vertical="center"/>
    </xf>
    <xf numFmtId="49" fontId="7" fillId="0" borderId="50" xfId="1" applyNumberFormat="1" applyFont="1" applyFill="1" applyBorder="1" applyAlignment="1">
      <alignment horizontal="left" vertical="center" wrapText="1"/>
    </xf>
    <xf numFmtId="164" fontId="5" fillId="0" borderId="32"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164" fontId="5" fillId="0" borderId="38" xfId="1" applyNumberFormat="1" applyFont="1" applyFill="1" applyBorder="1" applyAlignment="1">
      <alignment horizontal="center" vertical="center"/>
    </xf>
    <xf numFmtId="0" fontId="5" fillId="0" borderId="31" xfId="4"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164" fontId="5" fillId="0" borderId="32" xfId="1" applyNumberFormat="1" applyFont="1" applyFill="1" applyBorder="1" applyAlignment="1">
      <alignment horizontal="center" vertical="center"/>
    </xf>
    <xf numFmtId="164" fontId="5" fillId="2" borderId="32" xfId="1" applyNumberFormat="1" applyFont="1" applyFill="1" applyBorder="1" applyAlignment="1">
      <alignment horizontal="center" vertical="center"/>
    </xf>
    <xf numFmtId="49" fontId="7" fillId="0" borderId="33" xfId="1" applyNumberFormat="1" applyFont="1" applyFill="1" applyBorder="1" applyAlignment="1" applyProtection="1">
      <alignment horizontal="left" vertical="center" wrapText="1"/>
      <protection locked="0"/>
    </xf>
    <xf numFmtId="164" fontId="5" fillId="0" borderId="38" xfId="1" applyNumberFormat="1" applyFont="1" applyFill="1" applyBorder="1" applyAlignment="1">
      <alignment horizontal="center" vertical="center"/>
    </xf>
    <xf numFmtId="49" fontId="5" fillId="0" borderId="33" xfId="1" applyNumberFormat="1" applyFont="1" applyFill="1" applyBorder="1" applyAlignment="1">
      <alignment horizontal="left" vertical="center" wrapText="1"/>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5" fillId="2" borderId="32" xfId="1" applyNumberFormat="1" applyFont="1" applyFill="1" applyBorder="1" applyAlignment="1">
      <alignment horizontal="center" vertical="center"/>
    </xf>
    <xf numFmtId="164" fontId="7" fillId="2" borderId="38"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0" borderId="38"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0" borderId="39" xfId="1" applyNumberFormat="1" applyFont="1" applyFill="1" applyBorder="1" applyAlignment="1">
      <alignment horizontal="center" vertical="center"/>
    </xf>
    <xf numFmtId="164" fontId="5" fillId="2" borderId="32" xfId="1" applyNumberFormat="1" applyFont="1" applyFill="1" applyBorder="1" applyAlignment="1">
      <alignment horizontal="center" vertical="center"/>
    </xf>
    <xf numFmtId="164" fontId="5" fillId="2" borderId="29" xfId="1" applyNumberFormat="1" applyFont="1" applyFill="1" applyBorder="1" applyAlignment="1">
      <alignment horizontal="center" vertical="center"/>
    </xf>
    <xf numFmtId="164" fontId="5" fillId="0" borderId="38" xfId="1" applyNumberFormat="1" applyFont="1" applyFill="1" applyBorder="1" applyAlignment="1">
      <alignment horizontal="center" vertical="center"/>
    </xf>
    <xf numFmtId="164" fontId="7" fillId="0" borderId="38" xfId="1" applyNumberFormat="1" applyFont="1" applyFill="1" applyBorder="1" applyAlignment="1">
      <alignment horizontal="center" vertical="center"/>
    </xf>
    <xf numFmtId="49" fontId="7" fillId="0" borderId="33" xfId="1" applyNumberFormat="1" applyFont="1" applyFill="1" applyBorder="1" applyAlignment="1">
      <alignment horizontal="left" vertical="center" wrapText="1"/>
    </xf>
    <xf numFmtId="0" fontId="5" fillId="2" borderId="31" xfId="1" applyFont="1" applyFill="1" applyBorder="1" applyAlignment="1">
      <alignment horizontal="left" vertical="center" wrapText="1"/>
    </xf>
    <xf numFmtId="0" fontId="5" fillId="0" borderId="31" xfId="1" applyFont="1" applyFill="1" applyBorder="1" applyAlignment="1">
      <alignment horizontal="left" vertical="center" wrapText="1"/>
    </xf>
    <xf numFmtId="165" fontId="5"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0" fontId="12" fillId="3" borderId="25" xfId="1" applyFont="1" applyFill="1" applyBorder="1" applyAlignment="1">
      <alignment horizontal="left" vertical="center"/>
    </xf>
    <xf numFmtId="0" fontId="12" fillId="3" borderId="26" xfId="1" applyFont="1" applyFill="1" applyBorder="1" applyAlignment="1">
      <alignment horizontal="left" vertical="center"/>
    </xf>
    <xf numFmtId="0" fontId="12" fillId="3" borderId="27" xfId="1" applyFont="1" applyFill="1" applyBorder="1" applyAlignment="1">
      <alignment horizontal="left" vertical="center"/>
    </xf>
    <xf numFmtId="164" fontId="5" fillId="2" borderId="32" xfId="1" applyNumberFormat="1" applyFont="1" applyFill="1" applyBorder="1" applyAlignment="1">
      <alignment horizontal="center" vertical="center"/>
    </xf>
    <xf numFmtId="165" fontId="5" fillId="0" borderId="39" xfId="1" applyNumberFormat="1" applyFont="1" applyFill="1" applyBorder="1" applyAlignment="1">
      <alignment horizontal="center" vertical="center" wrapText="1"/>
    </xf>
    <xf numFmtId="165" fontId="5" fillId="0" borderId="40" xfId="1" applyNumberFormat="1" applyFont="1" applyFill="1" applyBorder="1" applyAlignment="1">
      <alignment horizontal="center" vertical="center" wrapText="1"/>
    </xf>
    <xf numFmtId="165" fontId="5" fillId="0" borderId="41" xfId="1" applyNumberFormat="1" applyFont="1" applyFill="1" applyBorder="1" applyAlignment="1">
      <alignment horizontal="center" vertical="center" wrapText="1"/>
    </xf>
    <xf numFmtId="164" fontId="5" fillId="0" borderId="39" xfId="1" applyNumberFormat="1" applyFont="1" applyFill="1" applyBorder="1" applyAlignment="1">
      <alignment horizontal="center" vertical="center"/>
    </xf>
    <xf numFmtId="164" fontId="5" fillId="0" borderId="40" xfId="1" applyNumberFormat="1" applyFont="1" applyFill="1" applyBorder="1" applyAlignment="1">
      <alignment horizontal="center" vertical="center"/>
    </xf>
    <xf numFmtId="164" fontId="5" fillId="0" borderId="41" xfId="1" applyNumberFormat="1" applyFont="1" applyFill="1" applyBorder="1" applyAlignment="1">
      <alignment horizontal="center" vertical="center"/>
    </xf>
    <xf numFmtId="0" fontId="5" fillId="0" borderId="42" xfId="1" applyFont="1" applyFill="1" applyBorder="1" applyAlignment="1">
      <alignment horizontal="left" vertical="center" wrapText="1"/>
    </xf>
    <xf numFmtId="0" fontId="5" fillId="0" borderId="43" xfId="1" applyFont="1" applyFill="1" applyBorder="1" applyAlignment="1">
      <alignment horizontal="left" vertical="center" wrapText="1"/>
    </xf>
    <xf numFmtId="165" fontId="7" fillId="0" borderId="32" xfId="1" applyNumberFormat="1" applyFont="1" applyFill="1" applyBorder="1" applyAlignment="1">
      <alignment horizontal="center" vertical="center" wrapText="1"/>
    </xf>
    <xf numFmtId="164" fontId="7" fillId="0" borderId="39" xfId="1" applyNumberFormat="1" applyFont="1" applyFill="1" applyBorder="1" applyAlignment="1">
      <alignment horizontal="center" vertical="center"/>
    </xf>
    <xf numFmtId="164" fontId="7" fillId="0" borderId="41"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49" fontId="7" fillId="0" borderId="53" xfId="1" applyNumberFormat="1" applyFont="1" applyFill="1" applyBorder="1" applyAlignment="1" applyProtection="1">
      <alignment horizontal="left" vertical="center" wrapText="1"/>
      <protection locked="0"/>
    </xf>
    <xf numFmtId="49" fontId="7" fillId="0" borderId="54" xfId="1" applyNumberFormat="1" applyFont="1" applyFill="1" applyBorder="1" applyAlignment="1" applyProtection="1">
      <alignment horizontal="left" vertical="center" wrapText="1"/>
      <protection locked="0"/>
    </xf>
    <xf numFmtId="49" fontId="7" fillId="0" borderId="45" xfId="1" applyNumberFormat="1" applyFont="1" applyFill="1" applyBorder="1" applyAlignment="1" applyProtection="1">
      <alignment horizontal="left" vertical="center" wrapText="1"/>
      <protection locked="0"/>
    </xf>
    <xf numFmtId="0" fontId="5" fillId="0" borderId="28" xfId="1" applyFont="1" applyFill="1" applyBorder="1" applyAlignment="1">
      <alignment horizontal="left" vertical="center" wrapText="1"/>
    </xf>
    <xf numFmtId="164" fontId="7" fillId="0" borderId="29" xfId="1" applyNumberFormat="1" applyFont="1" applyFill="1" applyBorder="1" applyAlignment="1">
      <alignment horizontal="center" vertical="center"/>
    </xf>
    <xf numFmtId="0" fontId="1" fillId="0" borderId="32" xfId="0" applyFont="1" applyBorder="1" applyAlignment="1">
      <alignment horizontal="center" vertical="center"/>
    </xf>
    <xf numFmtId="49" fontId="16" fillId="4" borderId="9" xfId="12" applyNumberFormat="1" applyFont="1" applyFill="1" applyBorder="1" applyAlignment="1">
      <alignment horizontal="center" vertical="center" wrapText="1"/>
    </xf>
    <xf numFmtId="49" fontId="16" fillId="4" borderId="12" xfId="12" applyNumberFormat="1" applyFont="1" applyFill="1" applyBorder="1" applyAlignment="1">
      <alignment horizontal="center" vertical="center" wrapText="1"/>
    </xf>
    <xf numFmtId="49" fontId="7" fillId="0" borderId="30" xfId="1" applyNumberFormat="1" applyFont="1" applyFill="1" applyBorder="1" applyAlignment="1">
      <alignment horizontal="left" vertical="center" wrapText="1"/>
    </xf>
    <xf numFmtId="0" fontId="12" fillId="4" borderId="14" xfId="1" applyNumberFormat="1" applyFont="1" applyFill="1" applyBorder="1" applyAlignment="1">
      <alignment horizontal="center" vertical="center" wrapText="1"/>
    </xf>
    <xf numFmtId="0" fontId="12" fillId="4" borderId="15" xfId="1" applyNumberFormat="1" applyFont="1" applyFill="1" applyBorder="1" applyAlignment="1">
      <alignment horizontal="center" vertical="center" wrapText="1"/>
    </xf>
    <xf numFmtId="0" fontId="12" fillId="4" borderId="7" xfId="1" applyNumberFormat="1" applyFont="1" applyFill="1" applyBorder="1" applyAlignment="1">
      <alignment horizontal="center" vertical="center" wrapText="1"/>
    </xf>
    <xf numFmtId="0" fontId="12" fillId="4" borderId="8" xfId="1" applyNumberFormat="1" applyFont="1" applyFill="1" applyBorder="1" applyAlignment="1">
      <alignment horizontal="center" vertical="center" wrapText="1"/>
    </xf>
    <xf numFmtId="0" fontId="12" fillId="4" borderId="6" xfId="1" applyNumberFormat="1" applyFont="1" applyFill="1" applyBorder="1" applyAlignment="1">
      <alignment horizontal="center" vertical="center" wrapText="1"/>
    </xf>
    <xf numFmtId="164" fontId="5" fillId="0" borderId="38" xfId="1" applyNumberFormat="1" applyFont="1" applyFill="1" applyBorder="1" applyAlignment="1">
      <alignment horizontal="center" vertical="center"/>
    </xf>
    <xf numFmtId="164" fontId="5" fillId="0" borderId="51" xfId="1" applyNumberFormat="1" applyFont="1" applyFill="1" applyBorder="1" applyAlignment="1">
      <alignment horizontal="center" vertical="center"/>
    </xf>
    <xf numFmtId="164" fontId="5" fillId="0" borderId="52" xfId="1" applyNumberFormat="1" applyFont="1" applyFill="1" applyBorder="1" applyAlignment="1">
      <alignment horizontal="center" vertical="center"/>
    </xf>
    <xf numFmtId="164" fontId="7" fillId="0" borderId="38" xfId="1" applyNumberFormat="1" applyFont="1" applyFill="1" applyBorder="1" applyAlignment="1">
      <alignment horizontal="center" vertical="center"/>
    </xf>
    <xf numFmtId="0" fontId="5" fillId="2" borderId="28" xfId="1" applyFont="1" applyFill="1" applyBorder="1" applyAlignment="1">
      <alignment horizontal="left" vertical="center" wrapText="1"/>
    </xf>
    <xf numFmtId="0" fontId="7" fillId="0" borderId="31" xfId="1" applyFont="1" applyFill="1" applyBorder="1" applyAlignment="1">
      <alignment horizontal="left" vertical="center" wrapText="1"/>
    </xf>
    <xf numFmtId="0" fontId="12" fillId="4" borderId="5" xfId="1" applyNumberFormat="1" applyFont="1" applyFill="1" applyBorder="1" applyAlignment="1">
      <alignment horizontal="center" vertical="center" textRotation="90" wrapText="1"/>
    </xf>
    <xf numFmtId="0" fontId="12" fillId="4" borderId="11" xfId="1" applyNumberFormat="1" applyFont="1" applyFill="1" applyBorder="1" applyAlignment="1">
      <alignment horizontal="center" vertical="center" textRotation="90" wrapText="1"/>
    </xf>
    <xf numFmtId="0" fontId="12" fillId="4" borderId="16" xfId="1" applyNumberFormat="1" applyFont="1" applyFill="1" applyBorder="1" applyAlignment="1">
      <alignment horizontal="center" vertical="center" wrapText="1"/>
    </xf>
    <xf numFmtId="0" fontId="12" fillId="4" borderId="4" xfId="1" applyFont="1" applyFill="1" applyBorder="1" applyAlignment="1">
      <alignment horizontal="center" vertical="center"/>
    </xf>
    <xf numFmtId="0" fontId="12" fillId="4" borderId="10" xfId="1" applyFont="1" applyFill="1" applyBorder="1" applyAlignment="1">
      <alignment horizontal="center" vertical="center"/>
    </xf>
    <xf numFmtId="0" fontId="12" fillId="4" borderId="17" xfId="1" applyNumberFormat="1" applyFont="1" applyFill="1" applyBorder="1" applyAlignment="1">
      <alignment horizontal="center" vertical="center" wrapText="1"/>
    </xf>
    <xf numFmtId="0" fontId="12" fillId="4" borderId="18" xfId="1" applyNumberFormat="1" applyFont="1" applyFill="1" applyBorder="1" applyAlignment="1">
      <alignment horizontal="center" vertical="center" wrapText="1"/>
    </xf>
    <xf numFmtId="0" fontId="12" fillId="4" borderId="19" xfId="1" applyNumberFormat="1" applyFont="1" applyFill="1" applyBorder="1" applyAlignment="1">
      <alignment horizontal="center" vertical="center" wrapText="1"/>
    </xf>
    <xf numFmtId="0" fontId="12" fillId="4" borderId="1" xfId="1" applyFont="1" applyFill="1" applyBorder="1" applyAlignment="1">
      <alignment horizontal="left" vertical="center"/>
    </xf>
    <xf numFmtId="0" fontId="12" fillId="4" borderId="3" xfId="1" applyFont="1" applyFill="1" applyBorder="1" applyAlignment="1">
      <alignment horizontal="left" vertical="center"/>
    </xf>
    <xf numFmtId="0" fontId="12" fillId="4" borderId="2" xfId="1" applyFont="1" applyFill="1" applyBorder="1" applyAlignment="1">
      <alignment horizontal="left" vertical="center"/>
    </xf>
    <xf numFmtId="165" fontId="5" fillId="0" borderId="29" xfId="1" applyNumberFormat="1" applyFont="1" applyFill="1" applyBorder="1" applyAlignment="1">
      <alignment horizontal="center" vertical="center" wrapText="1"/>
    </xf>
    <xf numFmtId="165" fontId="7" fillId="0" borderId="39" xfId="1" applyNumberFormat="1" applyFont="1" applyFill="1" applyBorder="1" applyAlignment="1">
      <alignment horizontal="center" vertical="center" wrapText="1"/>
    </xf>
    <xf numFmtId="165" fontId="7" fillId="0" borderId="41" xfId="1" applyNumberFormat="1" applyFont="1" applyFill="1" applyBorder="1" applyAlignment="1">
      <alignment horizontal="center" vertical="center" wrapText="1"/>
    </xf>
    <xf numFmtId="0" fontId="7" fillId="0" borderId="42" xfId="1" applyFont="1" applyFill="1" applyBorder="1" applyAlignment="1">
      <alignment horizontal="left" vertical="center" wrapText="1"/>
    </xf>
    <xf numFmtId="0" fontId="7" fillId="0" borderId="43" xfId="1" applyFont="1" applyFill="1" applyBorder="1" applyAlignment="1">
      <alignment horizontal="left" vertical="center" wrapText="1"/>
    </xf>
    <xf numFmtId="0" fontId="7" fillId="0" borderId="0" xfId="1" applyFont="1" applyFill="1" applyBorder="1" applyAlignment="1">
      <alignment horizontal="left" vertical="center" wrapText="1"/>
    </xf>
    <xf numFmtId="0" fontId="12" fillId="3" borderId="20" xfId="1" applyFont="1" applyFill="1" applyBorder="1" applyAlignment="1">
      <alignment horizontal="left" vertical="center"/>
    </xf>
    <xf numFmtId="0" fontId="12" fillId="3" borderId="21" xfId="1" applyFont="1" applyFill="1" applyBorder="1" applyAlignment="1">
      <alignment horizontal="left" vertical="center"/>
    </xf>
    <xf numFmtId="0" fontId="12" fillId="3" borderId="22" xfId="1" applyFont="1" applyFill="1" applyBorder="1" applyAlignment="1">
      <alignment horizontal="left" vertical="center"/>
    </xf>
    <xf numFmtId="164" fontId="5" fillId="0" borderId="51" xfId="1" quotePrefix="1" applyNumberFormat="1" applyFont="1" applyFill="1" applyBorder="1" applyAlignment="1">
      <alignment horizontal="center" vertical="center"/>
    </xf>
    <xf numFmtId="164" fontId="5" fillId="0" borderId="52" xfId="1" quotePrefix="1" applyNumberFormat="1" applyFont="1" applyFill="1" applyBorder="1" applyAlignment="1">
      <alignment horizontal="center" vertical="center"/>
    </xf>
    <xf numFmtId="0" fontId="5" fillId="0" borderId="31" xfId="4" applyFont="1" applyFill="1" applyBorder="1" applyAlignment="1">
      <alignment horizontal="left" vertical="center" wrapText="1"/>
    </xf>
    <xf numFmtId="165" fontId="15" fillId="0" borderId="29" xfId="1" applyNumberFormat="1" applyFont="1" applyFill="1" applyBorder="1" applyAlignment="1">
      <alignment horizontal="center" vertical="center" wrapText="1"/>
    </xf>
    <xf numFmtId="165" fontId="15" fillId="0" borderId="32" xfId="1" applyNumberFormat="1" applyFont="1" applyFill="1" applyBorder="1" applyAlignment="1">
      <alignment horizontal="center" vertical="center" wrapText="1"/>
    </xf>
    <xf numFmtId="164" fontId="5" fillId="2" borderId="29" xfId="1" applyNumberFormat="1" applyFont="1" applyFill="1" applyBorder="1" applyAlignment="1">
      <alignment horizontal="center" vertical="center"/>
    </xf>
    <xf numFmtId="165" fontId="7" fillId="0" borderId="40" xfId="1" applyNumberFormat="1" applyFont="1" applyFill="1" applyBorder="1" applyAlignment="1">
      <alignment horizontal="center" vertical="center" wrapText="1"/>
    </xf>
    <xf numFmtId="164" fontId="7" fillId="0" borderId="40" xfId="1" applyNumberFormat="1" applyFont="1" applyFill="1" applyBorder="1" applyAlignment="1">
      <alignment horizontal="center" vertical="center"/>
    </xf>
    <xf numFmtId="49" fontId="7" fillId="0" borderId="44" xfId="1" applyNumberFormat="1" applyFont="1" applyFill="1" applyBorder="1" applyAlignment="1">
      <alignment horizontal="left" vertical="center" wrapText="1"/>
    </xf>
    <xf numFmtId="49" fontId="7" fillId="0" borderId="45" xfId="1" applyNumberFormat="1" applyFont="1" applyFill="1" applyBorder="1" applyAlignment="1">
      <alignment horizontal="left" vertical="center" wrapText="1"/>
    </xf>
  </cellXfs>
  <cellStyles count="19">
    <cellStyle name="Comma" xfId="11" builtinId="3"/>
    <cellStyle name="Comma 2" xfId="5"/>
    <cellStyle name="Comma 2 2" xfId="2"/>
    <cellStyle name="Comma 2 2 2" xfId="16"/>
    <cellStyle name="Comma 2 2 3" xfId="13"/>
    <cellStyle name="Comma 2 3" xfId="6"/>
    <cellStyle name="Comma 3" xfId="7"/>
    <cellStyle name="Normal" xfId="0" builtinId="0"/>
    <cellStyle name="Normal 2" xfId="8"/>
    <cellStyle name="Normal 2 2" xfId="4"/>
    <cellStyle name="Normal 2 3" xfId="18"/>
    <cellStyle name="Normal 2 4" xfId="15"/>
    <cellStyle name="Normal 3" xfId="9"/>
    <cellStyle name="Normal 4" xfId="10"/>
    <cellStyle name="Normal 5" xfId="1"/>
    <cellStyle name="Percent" xfId="12" builtinId="5"/>
    <cellStyle name="Percent 2" xfId="3"/>
    <cellStyle name="Percent 2 2" xfId="17"/>
    <cellStyle name="Percent 2 3" xfId="14"/>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colors>
    <mruColors>
      <color rgb="FFC0C0C0"/>
      <color rgb="FF2C69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na.rusieshvili\AppData\Local\Microsoft\Windows\INetCache\Content.Outlook\MRNAUQBZ\WEB_2019_January_GE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na.rusieshvili\AppData\Local\Microsoft\Windows\INetCache\Content.Outlook\MRNAUQBZ\WEB_2019_July_GE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Website"/>
    </sheetNames>
    <sheetDataSet>
      <sheetData sheetId="0">
        <row r="95">
          <cell r="G95">
            <v>1301050</v>
          </cell>
          <cell r="H95">
            <v>92700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2019"/>
    </sheetNames>
    <sheetDataSet>
      <sheetData sheetId="0">
        <row r="93">
          <cell r="I93">
            <v>307640.23633000004</v>
          </cell>
          <cell r="J93">
            <v>77761.971409999998</v>
          </cell>
          <cell r="K93">
            <v>4312044.569255</v>
          </cell>
          <cell r="L93">
            <v>552683.17839140003</v>
          </cell>
        </row>
      </sheetData>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Angles">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Angles">
      <a:majorFont>
        <a:latin typeface="Franklin Gothic Medium"/>
        <a:ea typeface=""/>
        <a:cs typeface=""/>
        <a:font script="Jpan" typeface="HG創英角ｺﾞｼｯｸUB"/>
        <a:font script="Hang" typeface="돋움"/>
        <a:font script="Hans" typeface="微软雅黑"/>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ＭＳ Ｐゴシック"/>
        <a:font script="Hang" typeface="맑은 고딕"/>
        <a:font script="Hans" typeface="隶书"/>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le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20400000"/>
            </a:lightRig>
          </a:scene3d>
          <a:sp3d contourW="6350">
            <a:bevelT w="41275" h="19050" prst="angle"/>
            <a:contourClr>
              <a:schemeClr val="phClr">
                <a:shade val="25000"/>
                <a:satMod val="150000"/>
              </a:schemeClr>
            </a:contourClr>
          </a:sp3d>
        </a:effectStyle>
      </a:effectStyleLst>
      <a:bgFillStyleLst>
        <a:solidFill>
          <a:schemeClr val="phClr"/>
        </a:solidFill>
        <a:blipFill rotWithShape="1">
          <a:blip xmlns:r="http://schemas.openxmlformats.org/officeDocument/2006/relationships" r:embed="rId1">
            <a:duotone>
              <a:schemeClr val="phClr">
                <a:tint val="90000"/>
                <a:shade val="85000"/>
              </a:schemeClr>
              <a:schemeClr val="phClr">
                <a:tint val="95000"/>
                <a:shade val="99000"/>
              </a:schemeClr>
            </a:duotone>
          </a:blip>
          <a:tile tx="0" ty="0" sx="100000" sy="100000" flip="none" algn="tl"/>
        </a:blipFill>
        <a:blipFill rotWithShape="1">
          <a:blip xmlns:r="http://schemas.openxmlformats.org/officeDocument/2006/relationships" r:embed="rId2">
            <a:duotone>
              <a:schemeClr val="phClr">
                <a:tint val="93000"/>
                <a:shade val="85000"/>
              </a:schemeClr>
              <a:schemeClr val="phClr">
                <a:tint val="96000"/>
                <a:shade val="99000"/>
              </a:schemeClr>
            </a:duotone>
          </a:blip>
          <a:tile tx="0" ty="0" sx="90000" sy="9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R99"/>
  <sheetViews>
    <sheetView showGridLines="0" tabSelected="1" view="pageBreakPreview" zoomScale="70" zoomScaleNormal="60" zoomScaleSheetLayoutView="70" zoomScalePageLayoutView="40" workbookViewId="0">
      <selection activeCell="K92" sqref="K92"/>
    </sheetView>
  </sheetViews>
  <sheetFormatPr defaultColWidth="9.33203125" defaultRowHeight="16.5"/>
  <cols>
    <col min="1" max="1" width="64" style="4" customWidth="1"/>
    <col min="2" max="2" width="12.77734375" style="5" bestFit="1" customWidth="1"/>
    <col min="3" max="3" width="12.6640625" style="2" bestFit="1" customWidth="1"/>
    <col min="4" max="4" width="10.5546875" style="4" customWidth="1"/>
    <col min="5" max="5" width="13.109375" style="4" bestFit="1" customWidth="1"/>
    <col min="6" max="6" width="9.77734375" style="4" customWidth="1"/>
    <col min="7" max="7" width="17.6640625" style="1" customWidth="1"/>
    <col min="8" max="8" width="14.109375" style="4" customWidth="1"/>
    <col min="9" max="9" width="15.44140625" style="4" customWidth="1"/>
    <col min="10" max="10" width="13.21875" style="4" customWidth="1"/>
    <col min="11" max="11" width="17" style="4" customWidth="1"/>
    <col min="12" max="12" width="16.109375" style="4" customWidth="1"/>
    <col min="13" max="13" width="114.6640625" style="13" customWidth="1"/>
    <col min="14" max="18" width="9.33203125" style="1"/>
    <col min="19" max="19" width="9.33203125" style="1" customWidth="1"/>
    <col min="20" max="16384" width="9.33203125" style="1"/>
  </cols>
  <sheetData>
    <row r="1" spans="1:13" ht="6" customHeight="1">
      <c r="A1" s="1"/>
      <c r="B1" s="2"/>
      <c r="D1" s="1"/>
      <c r="E1" s="1"/>
      <c r="F1" s="1"/>
      <c r="H1" s="1"/>
      <c r="I1" s="1"/>
      <c r="J1" s="1"/>
      <c r="K1" s="1"/>
      <c r="L1" s="1"/>
    </row>
    <row r="2" spans="1:13" s="6" customFormat="1" ht="29.45" customHeight="1">
      <c r="A2" s="15" t="s">
        <v>114</v>
      </c>
      <c r="B2" s="16"/>
      <c r="C2" s="16"/>
      <c r="D2" s="15"/>
      <c r="E2" s="15"/>
      <c r="F2" s="15"/>
      <c r="G2" s="15"/>
      <c r="H2" s="15"/>
      <c r="I2" s="15"/>
      <c r="J2" s="15"/>
      <c r="K2" s="17"/>
      <c r="L2" s="15"/>
      <c r="M2" s="81"/>
    </row>
    <row r="3" spans="1:13" ht="27" customHeight="1" thickBot="1">
      <c r="A3" s="18" t="s">
        <v>158</v>
      </c>
      <c r="B3" s="19"/>
      <c r="C3" s="19"/>
      <c r="D3" s="20"/>
      <c r="E3" s="20"/>
      <c r="F3" s="20"/>
      <c r="G3" s="20"/>
      <c r="H3" s="20"/>
      <c r="I3" s="20"/>
      <c r="J3" s="20"/>
      <c r="K3" s="20"/>
      <c r="L3" s="20"/>
    </row>
    <row r="4" spans="1:13" s="6" customFormat="1" ht="54.6" customHeight="1">
      <c r="A4" s="201" t="s">
        <v>9</v>
      </c>
      <c r="B4" s="198" t="s">
        <v>69</v>
      </c>
      <c r="C4" s="198" t="s">
        <v>30</v>
      </c>
      <c r="D4" s="191" t="s">
        <v>29</v>
      </c>
      <c r="E4" s="191"/>
      <c r="F4" s="200"/>
      <c r="G4" s="190" t="s">
        <v>124</v>
      </c>
      <c r="H4" s="191"/>
      <c r="I4" s="190" t="s">
        <v>125</v>
      </c>
      <c r="J4" s="191"/>
      <c r="K4" s="189" t="s">
        <v>57</v>
      </c>
      <c r="L4" s="190"/>
      <c r="M4" s="184" t="s">
        <v>31</v>
      </c>
    </row>
    <row r="5" spans="1:13" s="6" customFormat="1" ht="50.45" customHeight="1" thickBot="1">
      <c r="A5" s="202"/>
      <c r="B5" s="199"/>
      <c r="C5" s="199"/>
      <c r="D5" s="203" t="s">
        <v>19</v>
      </c>
      <c r="E5" s="204"/>
      <c r="F5" s="205"/>
      <c r="G5" s="187" t="s">
        <v>6</v>
      </c>
      <c r="H5" s="188"/>
      <c r="I5" s="187" t="s">
        <v>6</v>
      </c>
      <c r="J5" s="188"/>
      <c r="K5" s="187" t="s">
        <v>6</v>
      </c>
      <c r="L5" s="188"/>
      <c r="M5" s="185"/>
    </row>
    <row r="6" spans="1:13" ht="28.5" customHeight="1" thickBot="1">
      <c r="A6" s="21"/>
      <c r="B6" s="22"/>
      <c r="C6" s="22"/>
      <c r="D6" s="23" t="s">
        <v>10</v>
      </c>
      <c r="E6" s="23" t="s">
        <v>11</v>
      </c>
      <c r="F6" s="23" t="s">
        <v>12</v>
      </c>
      <c r="G6" s="23" t="s">
        <v>11</v>
      </c>
      <c r="H6" s="23" t="s">
        <v>12</v>
      </c>
      <c r="I6" s="23" t="s">
        <v>11</v>
      </c>
      <c r="J6" s="23" t="s">
        <v>12</v>
      </c>
      <c r="K6" s="23" t="s">
        <v>11</v>
      </c>
      <c r="L6" s="23" t="s">
        <v>12</v>
      </c>
      <c r="M6" s="82"/>
    </row>
    <row r="7" spans="1:13" s="7" customFormat="1" ht="30" customHeight="1" thickBot="1">
      <c r="A7" s="206" t="s">
        <v>24</v>
      </c>
      <c r="B7" s="207"/>
      <c r="C7" s="207"/>
      <c r="D7" s="207"/>
      <c r="E7" s="207"/>
      <c r="F7" s="208"/>
      <c r="G7" s="24">
        <f t="shared" ref="G7:L7" si="0">SUM(G8:G35)</f>
        <v>680550</v>
      </c>
      <c r="H7" s="24">
        <f t="shared" si="0"/>
        <v>8050</v>
      </c>
      <c r="I7" s="24">
        <f>SUM(I8:I35)</f>
        <v>109468.43166000002</v>
      </c>
      <c r="J7" s="24">
        <f t="shared" si="0"/>
        <v>2695.3515000000002</v>
      </c>
      <c r="K7" s="24">
        <f t="shared" si="0"/>
        <v>2111967.34185</v>
      </c>
      <c r="L7" s="24">
        <f t="shared" si="0"/>
        <v>33691.200839999998</v>
      </c>
      <c r="M7" s="83"/>
    </row>
    <row r="8" spans="1:13" ht="48" customHeight="1">
      <c r="A8" s="196" t="s">
        <v>54</v>
      </c>
      <c r="B8" s="209">
        <v>41431</v>
      </c>
      <c r="C8" s="221">
        <v>43524</v>
      </c>
      <c r="D8" s="25" t="s">
        <v>0</v>
      </c>
      <c r="E8" s="25">
        <v>24500</v>
      </c>
      <c r="F8" s="177"/>
      <c r="G8" s="177">
        <v>4000</v>
      </c>
      <c r="H8" s="182"/>
      <c r="I8" s="177">
        <v>6263.2766099999999</v>
      </c>
      <c r="J8" s="223"/>
      <c r="K8" s="177">
        <f>148859.28356+I8</f>
        <v>155122.56017000001</v>
      </c>
      <c r="L8" s="177"/>
      <c r="M8" s="186" t="s">
        <v>134</v>
      </c>
    </row>
    <row r="9" spans="1:13" ht="80.25" customHeight="1">
      <c r="A9" s="157"/>
      <c r="B9" s="159"/>
      <c r="C9" s="222"/>
      <c r="D9" s="26" t="s">
        <v>1</v>
      </c>
      <c r="E9" s="26">
        <v>38000</v>
      </c>
      <c r="F9" s="160"/>
      <c r="G9" s="160"/>
      <c r="H9" s="161"/>
      <c r="I9" s="160"/>
      <c r="J9" s="165"/>
      <c r="K9" s="160"/>
      <c r="L9" s="160"/>
      <c r="M9" s="156"/>
    </row>
    <row r="10" spans="1:13" s="9" customFormat="1" ht="46.9" customHeight="1">
      <c r="A10" s="157" t="s">
        <v>46</v>
      </c>
      <c r="B10" s="159">
        <v>42410</v>
      </c>
      <c r="C10" s="159">
        <v>44196</v>
      </c>
      <c r="D10" s="26" t="s">
        <v>1</v>
      </c>
      <c r="E10" s="26">
        <v>140000</v>
      </c>
      <c r="F10" s="26"/>
      <c r="G10" s="160">
        <v>55225</v>
      </c>
      <c r="H10" s="161"/>
      <c r="I10" s="160">
        <v>9485.2582700000003</v>
      </c>
      <c r="J10" s="165"/>
      <c r="K10" s="160">
        <v>112061.49513000001</v>
      </c>
      <c r="L10" s="160"/>
      <c r="M10" s="156" t="s">
        <v>148</v>
      </c>
    </row>
    <row r="11" spans="1:13" s="9" customFormat="1" ht="70.5" customHeight="1">
      <c r="A11" s="157"/>
      <c r="B11" s="159"/>
      <c r="C11" s="159"/>
      <c r="D11" s="26" t="s">
        <v>4</v>
      </c>
      <c r="E11" s="26">
        <v>49450</v>
      </c>
      <c r="F11" s="26"/>
      <c r="G11" s="160"/>
      <c r="H11" s="161"/>
      <c r="I11" s="160"/>
      <c r="J11" s="165"/>
      <c r="K11" s="160"/>
      <c r="L11" s="160"/>
      <c r="M11" s="156"/>
    </row>
    <row r="12" spans="1:13" ht="25.15" customHeight="1">
      <c r="A12" s="157" t="s">
        <v>56</v>
      </c>
      <c r="B12" s="159">
        <v>40115</v>
      </c>
      <c r="C12" s="159">
        <v>43737</v>
      </c>
      <c r="D12" s="26" t="s">
        <v>0</v>
      </c>
      <c r="E12" s="26">
        <v>75892</v>
      </c>
      <c r="F12" s="160"/>
      <c r="G12" s="160">
        <v>4000</v>
      </c>
      <c r="H12" s="161"/>
      <c r="I12" s="160">
        <v>10411.350060000001</v>
      </c>
      <c r="J12" s="160"/>
      <c r="K12" s="160">
        <v>383241.21223</v>
      </c>
      <c r="L12" s="160"/>
      <c r="M12" s="156" t="s">
        <v>113</v>
      </c>
    </row>
    <row r="13" spans="1:13" ht="48.75" customHeight="1">
      <c r="A13" s="157"/>
      <c r="B13" s="159"/>
      <c r="C13" s="159"/>
      <c r="D13" s="26" t="s">
        <v>2</v>
      </c>
      <c r="E13" s="26">
        <v>140000</v>
      </c>
      <c r="F13" s="160"/>
      <c r="G13" s="160"/>
      <c r="H13" s="161"/>
      <c r="I13" s="160"/>
      <c r="J13" s="160"/>
      <c r="K13" s="160"/>
      <c r="L13" s="160"/>
      <c r="M13" s="156"/>
    </row>
    <row r="14" spans="1:13" s="9" customFormat="1" ht="24" customHeight="1">
      <c r="A14" s="172" t="s">
        <v>55</v>
      </c>
      <c r="B14" s="210" t="s">
        <v>71</v>
      </c>
      <c r="C14" s="210" t="s">
        <v>72</v>
      </c>
      <c r="D14" s="49" t="s">
        <v>4</v>
      </c>
      <c r="E14" s="49">
        <v>108190</v>
      </c>
      <c r="F14" s="169"/>
      <c r="G14" s="169">
        <v>56000</v>
      </c>
      <c r="H14" s="175"/>
      <c r="I14" s="175">
        <v>23451.428240000001</v>
      </c>
      <c r="J14" s="169"/>
      <c r="K14" s="169">
        <v>84539.824590000004</v>
      </c>
      <c r="L14" s="169"/>
      <c r="M14" s="226" t="s">
        <v>115</v>
      </c>
    </row>
    <row r="15" spans="1:13" s="9" customFormat="1" ht="53.25" customHeight="1">
      <c r="A15" s="173"/>
      <c r="B15" s="211"/>
      <c r="C15" s="211"/>
      <c r="D15" s="49" t="s">
        <v>1</v>
      </c>
      <c r="E15" s="49">
        <v>114000</v>
      </c>
      <c r="F15" s="171"/>
      <c r="G15" s="171"/>
      <c r="H15" s="176"/>
      <c r="I15" s="176"/>
      <c r="J15" s="171"/>
      <c r="K15" s="171"/>
      <c r="L15" s="171"/>
      <c r="M15" s="227"/>
    </row>
    <row r="16" spans="1:13" ht="91.5" customHeight="1">
      <c r="A16" s="50" t="s">
        <v>20</v>
      </c>
      <c r="B16" s="14">
        <v>40163</v>
      </c>
      <c r="C16" s="28">
        <v>45101</v>
      </c>
      <c r="D16" s="26" t="s">
        <v>3</v>
      </c>
      <c r="E16" s="26">
        <v>22132000</v>
      </c>
      <c r="F16" s="26"/>
      <c r="G16" s="107">
        <v>1600</v>
      </c>
      <c r="H16" s="109"/>
      <c r="I16" s="149">
        <v>794.46415999999999</v>
      </c>
      <c r="J16" s="149"/>
      <c r="K16" s="149">
        <f>395400.05161+I16</f>
        <v>396194.51577</v>
      </c>
      <c r="L16" s="149"/>
      <c r="M16" s="80" t="s">
        <v>135</v>
      </c>
    </row>
    <row r="17" spans="1:18" ht="85.5" customHeight="1">
      <c r="A17" s="50" t="s">
        <v>37</v>
      </c>
      <c r="B17" s="14">
        <v>41040</v>
      </c>
      <c r="C17" s="14">
        <v>43797</v>
      </c>
      <c r="D17" s="26" t="s">
        <v>4</v>
      </c>
      <c r="E17" s="26">
        <v>200000</v>
      </c>
      <c r="F17" s="26">
        <v>20000</v>
      </c>
      <c r="G17" s="107">
        <v>52300</v>
      </c>
      <c r="H17" s="109">
        <v>8050</v>
      </c>
      <c r="I17" s="149">
        <v>19532.292000000001</v>
      </c>
      <c r="J17" s="149">
        <v>2695.3515000000002</v>
      </c>
      <c r="K17" s="149">
        <f>299698.79166+I17</f>
        <v>319231.08366</v>
      </c>
      <c r="L17" s="149">
        <f>30995.84934+J17</f>
        <v>33691.200839999998</v>
      </c>
      <c r="M17" s="80" t="s">
        <v>149</v>
      </c>
    </row>
    <row r="18" spans="1:18" s="9" customFormat="1" ht="33.6" customHeight="1">
      <c r="A18" s="212" t="s">
        <v>85</v>
      </c>
      <c r="B18" s="73" t="s">
        <v>110</v>
      </c>
      <c r="C18" s="73" t="s">
        <v>111</v>
      </c>
      <c r="D18" s="74" t="s">
        <v>4</v>
      </c>
      <c r="E18" s="74">
        <v>16000</v>
      </c>
      <c r="F18" s="74"/>
      <c r="G18" s="169">
        <v>45600</v>
      </c>
      <c r="H18" s="175"/>
      <c r="I18" s="169"/>
      <c r="J18" s="169"/>
      <c r="K18" s="169">
        <f>125.74445+I18</f>
        <v>125.74445</v>
      </c>
      <c r="L18" s="169"/>
      <c r="M18" s="226" t="s">
        <v>159</v>
      </c>
    </row>
    <row r="19" spans="1:18" s="9" customFormat="1" ht="55.5" customHeight="1">
      <c r="A19" s="213"/>
      <c r="B19" s="73"/>
      <c r="C19" s="73"/>
      <c r="D19" s="74"/>
      <c r="E19" s="74"/>
      <c r="F19" s="74"/>
      <c r="G19" s="171"/>
      <c r="H19" s="176"/>
      <c r="I19" s="171"/>
      <c r="J19" s="171"/>
      <c r="K19" s="171"/>
      <c r="L19" s="171"/>
      <c r="M19" s="227"/>
    </row>
    <row r="20" spans="1:18" s="9" customFormat="1" ht="60" customHeight="1">
      <c r="A20" s="75" t="s">
        <v>84</v>
      </c>
      <c r="B20" s="95">
        <v>43378</v>
      </c>
      <c r="C20" s="95">
        <v>45657</v>
      </c>
      <c r="D20" s="94" t="s">
        <v>4</v>
      </c>
      <c r="E20" s="94">
        <v>255.297</v>
      </c>
      <c r="F20" s="66"/>
      <c r="G20" s="107">
        <v>63550</v>
      </c>
      <c r="H20" s="66"/>
      <c r="I20" s="146">
        <v>267.71526</v>
      </c>
      <c r="J20" s="66"/>
      <c r="K20" s="145">
        <f>113756.3746+I20</f>
        <v>114024.08985999999</v>
      </c>
      <c r="L20" s="66"/>
      <c r="M20" s="80" t="s">
        <v>160</v>
      </c>
    </row>
    <row r="21" spans="1:18" s="9" customFormat="1" ht="46.5" customHeight="1">
      <c r="A21" s="75" t="s">
        <v>83</v>
      </c>
      <c r="B21" s="210">
        <v>42652</v>
      </c>
      <c r="C21" s="210">
        <v>44539</v>
      </c>
      <c r="D21" s="175" t="s">
        <v>4</v>
      </c>
      <c r="E21" s="175">
        <v>250</v>
      </c>
      <c r="F21" s="66"/>
      <c r="G21" s="107">
        <v>96850</v>
      </c>
      <c r="H21" s="66"/>
      <c r="I21" s="150">
        <v>121.14439</v>
      </c>
      <c r="J21" s="66"/>
      <c r="K21" s="149">
        <f>201682.00984+I21</f>
        <v>201803.15423000001</v>
      </c>
      <c r="L21" s="66"/>
      <c r="M21" s="80" t="s">
        <v>161</v>
      </c>
    </row>
    <row r="22" spans="1:18" s="9" customFormat="1" ht="60" customHeight="1">
      <c r="A22" s="75" t="s">
        <v>82</v>
      </c>
      <c r="B22" s="224"/>
      <c r="C22" s="224"/>
      <c r="D22" s="225"/>
      <c r="E22" s="225"/>
      <c r="F22" s="66"/>
      <c r="G22" s="107">
        <v>48850</v>
      </c>
      <c r="H22" s="66"/>
      <c r="I22" s="66"/>
      <c r="J22" s="66"/>
      <c r="K22" s="145"/>
      <c r="L22" s="66"/>
      <c r="M22" s="80" t="s">
        <v>162</v>
      </c>
    </row>
    <row r="23" spans="1:18" s="9" customFormat="1" ht="55.5" customHeight="1">
      <c r="A23" s="75" t="s">
        <v>152</v>
      </c>
      <c r="B23" s="211"/>
      <c r="C23" s="211"/>
      <c r="D23" s="176"/>
      <c r="E23" s="176"/>
      <c r="F23" s="66"/>
      <c r="G23" s="107">
        <v>48700</v>
      </c>
      <c r="H23" s="66"/>
      <c r="I23" s="145">
        <v>1334.6205399999999</v>
      </c>
      <c r="J23" s="66"/>
      <c r="K23" s="145">
        <f>20357.40381+I23</f>
        <v>21692.02435</v>
      </c>
      <c r="L23" s="66"/>
      <c r="M23" s="80" t="s">
        <v>163</v>
      </c>
    </row>
    <row r="24" spans="1:18" s="9" customFormat="1" ht="69.75" customHeight="1">
      <c r="A24" s="75" t="s">
        <v>81</v>
      </c>
      <c r="B24" s="65"/>
      <c r="C24" s="65"/>
      <c r="D24" s="66"/>
      <c r="E24" s="66"/>
      <c r="F24" s="66"/>
      <c r="G24" s="93"/>
      <c r="H24" s="66"/>
      <c r="I24" s="66"/>
      <c r="J24" s="66"/>
      <c r="K24" s="93"/>
      <c r="L24" s="66"/>
      <c r="M24" s="80" t="s">
        <v>153</v>
      </c>
    </row>
    <row r="25" spans="1:18" s="9" customFormat="1" ht="52.5" customHeight="1">
      <c r="A25" s="75" t="s">
        <v>77</v>
      </c>
      <c r="B25" s="65"/>
      <c r="C25" s="65"/>
      <c r="D25" s="66"/>
      <c r="E25" s="66"/>
      <c r="F25" s="66"/>
      <c r="G25" s="93"/>
      <c r="H25" s="66"/>
      <c r="I25" s="66"/>
      <c r="J25" s="66"/>
      <c r="K25" s="93"/>
      <c r="L25" s="66"/>
      <c r="M25" s="80" t="s">
        <v>87</v>
      </c>
    </row>
    <row r="26" spans="1:18" s="9" customFormat="1" ht="62.25" customHeight="1">
      <c r="A26" s="75" t="s">
        <v>86</v>
      </c>
      <c r="B26" s="65"/>
      <c r="C26" s="65"/>
      <c r="D26" s="66"/>
      <c r="E26" s="66"/>
      <c r="F26" s="66"/>
      <c r="G26" s="107">
        <v>122275</v>
      </c>
      <c r="H26" s="66"/>
      <c r="I26" s="66"/>
      <c r="J26" s="66"/>
      <c r="K26" s="107"/>
      <c r="L26" s="66"/>
      <c r="M26" s="80" t="s">
        <v>164</v>
      </c>
    </row>
    <row r="27" spans="1:18" s="9" customFormat="1" ht="49.5" customHeight="1">
      <c r="A27" s="75" t="s">
        <v>78</v>
      </c>
      <c r="B27" s="65"/>
      <c r="C27" s="65"/>
      <c r="D27" s="66"/>
      <c r="E27" s="66"/>
      <c r="F27" s="66"/>
      <c r="G27" s="93"/>
      <c r="H27" s="66"/>
      <c r="I27" s="66"/>
      <c r="J27" s="66"/>
      <c r="K27" s="93"/>
      <c r="L27" s="66"/>
      <c r="M27" s="80" t="s">
        <v>165</v>
      </c>
    </row>
    <row r="28" spans="1:18" s="9" customFormat="1" ht="59.25" customHeight="1">
      <c r="A28" s="75" t="s">
        <v>80</v>
      </c>
      <c r="B28" s="65"/>
      <c r="C28" s="65"/>
      <c r="D28" s="66"/>
      <c r="E28" s="66"/>
      <c r="F28" s="66"/>
      <c r="G28" s="93"/>
      <c r="H28" s="66"/>
      <c r="I28" s="66"/>
      <c r="J28" s="66"/>
      <c r="K28" s="93"/>
      <c r="L28" s="66"/>
      <c r="M28" s="80" t="s">
        <v>136</v>
      </c>
    </row>
    <row r="29" spans="1:18" s="3" customFormat="1" ht="22.15" customHeight="1">
      <c r="A29" s="197" t="s">
        <v>13</v>
      </c>
      <c r="B29" s="174">
        <v>40990</v>
      </c>
      <c r="C29" s="174">
        <v>43646</v>
      </c>
      <c r="D29" s="72" t="s">
        <v>0</v>
      </c>
      <c r="E29" s="72">
        <v>25800</v>
      </c>
      <c r="F29" s="160"/>
      <c r="G29" s="160">
        <v>2300</v>
      </c>
      <c r="H29" s="161"/>
      <c r="I29" s="160">
        <v>1025.68175</v>
      </c>
      <c r="J29" s="165"/>
      <c r="K29" s="160">
        <f>126586.68242+I29</f>
        <v>127612.36417</v>
      </c>
      <c r="L29" s="160"/>
      <c r="M29" s="156" t="s">
        <v>116</v>
      </c>
      <c r="N29" s="1"/>
      <c r="O29" s="1"/>
      <c r="P29" s="1"/>
      <c r="Q29" s="1"/>
      <c r="R29" s="1"/>
    </row>
    <row r="30" spans="1:18" s="3" customFormat="1" ht="27" customHeight="1">
      <c r="A30" s="197"/>
      <c r="B30" s="174"/>
      <c r="C30" s="174"/>
      <c r="D30" s="72" t="s">
        <v>1</v>
      </c>
      <c r="E30" s="72">
        <v>30000</v>
      </c>
      <c r="F30" s="160"/>
      <c r="G30" s="160"/>
      <c r="H30" s="161"/>
      <c r="I30" s="160"/>
      <c r="J30" s="165"/>
      <c r="K30" s="160"/>
      <c r="L30" s="160"/>
      <c r="M30" s="156"/>
      <c r="N30" s="1"/>
      <c r="O30" s="1"/>
      <c r="P30" s="1"/>
      <c r="Q30" s="1"/>
      <c r="R30" s="1"/>
    </row>
    <row r="31" spans="1:18" s="3" customFormat="1" ht="60" customHeight="1">
      <c r="A31" s="60" t="s">
        <v>66</v>
      </c>
      <c r="B31" s="48">
        <v>41829</v>
      </c>
      <c r="C31" s="48">
        <v>44012</v>
      </c>
      <c r="D31" s="72" t="s">
        <v>1</v>
      </c>
      <c r="E31" s="72">
        <v>75000</v>
      </c>
      <c r="F31" s="26"/>
      <c r="G31" s="107">
        <v>32000</v>
      </c>
      <c r="H31" s="109"/>
      <c r="I31" s="149">
        <v>23812.809089999999</v>
      </c>
      <c r="J31" s="149"/>
      <c r="K31" s="149">
        <f>111232.66285+I31</f>
        <v>135045.47193999999</v>
      </c>
      <c r="L31" s="149"/>
      <c r="M31" s="80" t="s">
        <v>147</v>
      </c>
      <c r="N31" s="1"/>
      <c r="O31" s="1"/>
      <c r="P31" s="1"/>
      <c r="Q31" s="1"/>
      <c r="R31" s="1"/>
    </row>
    <row r="32" spans="1:18" s="3" customFormat="1" ht="108.75" customHeight="1">
      <c r="A32" s="60" t="s">
        <v>48</v>
      </c>
      <c r="B32" s="48">
        <v>42457</v>
      </c>
      <c r="C32" s="48">
        <v>44561</v>
      </c>
      <c r="D32" s="72" t="s">
        <v>1</v>
      </c>
      <c r="E32" s="72">
        <v>40000</v>
      </c>
      <c r="F32" s="26"/>
      <c r="G32" s="107">
        <v>20000</v>
      </c>
      <c r="H32" s="109"/>
      <c r="I32" s="149">
        <v>6067.3238199999996</v>
      </c>
      <c r="J32" s="149"/>
      <c r="K32" s="149">
        <f>31603.92074+I32</f>
        <v>37671.244559999999</v>
      </c>
      <c r="L32" s="149"/>
      <c r="M32" s="80" t="s">
        <v>166</v>
      </c>
      <c r="N32" s="1"/>
      <c r="O32" s="1"/>
      <c r="P32" s="1"/>
      <c r="Q32" s="1"/>
      <c r="R32" s="1"/>
    </row>
    <row r="33" spans="1:18" s="3" customFormat="1" ht="74.25" customHeight="1">
      <c r="A33" s="75" t="s">
        <v>79</v>
      </c>
      <c r="B33" s="48" t="s">
        <v>74</v>
      </c>
      <c r="C33" s="48" t="s">
        <v>137</v>
      </c>
      <c r="D33" s="72" t="s">
        <v>1</v>
      </c>
      <c r="E33" s="72">
        <v>80000</v>
      </c>
      <c r="F33" s="69"/>
      <c r="G33" s="109">
        <v>15400</v>
      </c>
      <c r="H33" s="109"/>
      <c r="I33" s="150">
        <v>6223.8082999999997</v>
      </c>
      <c r="J33" s="150"/>
      <c r="K33" s="149">
        <f>15769.12805+I33</f>
        <v>21992.93635</v>
      </c>
      <c r="L33" s="150"/>
      <c r="M33" s="80" t="s">
        <v>167</v>
      </c>
      <c r="N33" s="91"/>
      <c r="O33" s="1"/>
      <c r="P33" s="1"/>
      <c r="Q33" s="1"/>
      <c r="R33" s="1"/>
    </row>
    <row r="34" spans="1:18" s="3" customFormat="1" ht="61.5" customHeight="1">
      <c r="A34" s="56" t="s">
        <v>44</v>
      </c>
      <c r="B34" s="14">
        <v>42752</v>
      </c>
      <c r="C34" s="14">
        <v>44196</v>
      </c>
      <c r="D34" s="26" t="s">
        <v>43</v>
      </c>
      <c r="E34" s="26">
        <v>8000</v>
      </c>
      <c r="F34" s="26"/>
      <c r="G34" s="107">
        <v>9200</v>
      </c>
      <c r="H34" s="109"/>
      <c r="I34" s="149">
        <v>381.89821000000001</v>
      </c>
      <c r="J34" s="149"/>
      <c r="K34" s="149">
        <f>795.30622+I34</f>
        <v>1177.20443</v>
      </c>
      <c r="L34" s="149"/>
      <c r="M34" s="80" t="s">
        <v>168</v>
      </c>
      <c r="N34" s="1"/>
      <c r="O34" s="1"/>
      <c r="P34" s="1"/>
      <c r="Q34" s="1"/>
      <c r="R34" s="1"/>
    </row>
    <row r="35" spans="1:18" s="3" customFormat="1" ht="57" customHeight="1" thickBot="1">
      <c r="A35" s="124" t="s">
        <v>45</v>
      </c>
      <c r="B35" s="125">
        <v>42734</v>
      </c>
      <c r="C35" s="125">
        <v>43830</v>
      </c>
      <c r="D35" s="126" t="s">
        <v>4</v>
      </c>
      <c r="E35" s="126">
        <v>6000</v>
      </c>
      <c r="F35" s="126"/>
      <c r="G35" s="126">
        <v>2700</v>
      </c>
      <c r="H35" s="127"/>
      <c r="I35" s="31">
        <v>295.36095999999998</v>
      </c>
      <c r="J35" s="31"/>
      <c r="K35" s="31">
        <f>137.055+I35</f>
        <v>432.41595999999998</v>
      </c>
      <c r="L35" s="31"/>
      <c r="M35" s="128" t="s">
        <v>155</v>
      </c>
      <c r="N35" s="1"/>
      <c r="O35" s="1"/>
      <c r="P35" s="1"/>
      <c r="Q35" s="1"/>
      <c r="R35" s="1"/>
    </row>
    <row r="36" spans="1:18" s="7" customFormat="1" ht="30" customHeight="1" thickBot="1">
      <c r="A36" s="162" t="s">
        <v>7</v>
      </c>
      <c r="B36" s="163"/>
      <c r="C36" s="163"/>
      <c r="D36" s="163"/>
      <c r="E36" s="163"/>
      <c r="F36" s="164"/>
      <c r="G36" s="38">
        <f>SUM(G37:G53)</f>
        <v>211480</v>
      </c>
      <c r="H36" s="38">
        <f t="shared" ref="H36:L36" si="1">SUM(H37:H53)</f>
        <v>7100</v>
      </c>
      <c r="I36" s="38">
        <f t="shared" si="1"/>
        <v>68899.728699999992</v>
      </c>
      <c r="J36" s="38">
        <f t="shared" si="1"/>
        <v>2995.87102</v>
      </c>
      <c r="K36" s="38">
        <f t="shared" si="1"/>
        <v>839984.38186000008</v>
      </c>
      <c r="L36" s="38">
        <f t="shared" si="1"/>
        <v>17884.896949999998</v>
      </c>
      <c r="M36" s="87"/>
    </row>
    <row r="37" spans="1:18" ht="72.75" customHeight="1">
      <c r="A37" s="55" t="s">
        <v>22</v>
      </c>
      <c r="B37" s="57">
        <v>41869</v>
      </c>
      <c r="C37" s="57">
        <v>44316</v>
      </c>
      <c r="D37" s="54" t="s">
        <v>1</v>
      </c>
      <c r="E37" s="54">
        <v>30000</v>
      </c>
      <c r="F37" s="54">
        <v>5000</v>
      </c>
      <c r="G37" s="32">
        <v>8800</v>
      </c>
      <c r="H37" s="67">
        <v>3600</v>
      </c>
      <c r="I37" s="32">
        <v>4644.6277899999995</v>
      </c>
      <c r="J37" s="67">
        <v>2635.2765100000001</v>
      </c>
      <c r="K37" s="32">
        <f>42550.40846+I37</f>
        <v>47195.036249999997</v>
      </c>
      <c r="L37" s="32">
        <f>4758.74569+J37</f>
        <v>7394.0221999999994</v>
      </c>
      <c r="M37" s="85" t="s">
        <v>90</v>
      </c>
    </row>
    <row r="38" spans="1:18" ht="75.75" customHeight="1">
      <c r="A38" s="56" t="s">
        <v>14</v>
      </c>
      <c r="B38" s="51">
        <v>40227</v>
      </c>
      <c r="C38" s="28">
        <v>44196</v>
      </c>
      <c r="D38" s="52" t="s">
        <v>4</v>
      </c>
      <c r="E38" s="52">
        <v>3000</v>
      </c>
      <c r="F38" s="52"/>
      <c r="G38" s="137">
        <v>3000</v>
      </c>
      <c r="H38" s="116"/>
      <c r="I38" s="154">
        <v>1132.24335</v>
      </c>
      <c r="J38" s="154"/>
      <c r="K38" s="154">
        <f>74.757+I38</f>
        <v>1207.00035</v>
      </c>
      <c r="L38" s="154"/>
      <c r="M38" s="80" t="s">
        <v>91</v>
      </c>
    </row>
    <row r="39" spans="1:18" ht="87" customHeight="1">
      <c r="A39" s="56" t="s">
        <v>38</v>
      </c>
      <c r="B39" s="51">
        <v>41621</v>
      </c>
      <c r="C39" s="51">
        <v>44926</v>
      </c>
      <c r="D39" s="52" t="s">
        <v>4</v>
      </c>
      <c r="E39" s="52">
        <v>20000</v>
      </c>
      <c r="F39" s="52">
        <v>2000</v>
      </c>
      <c r="G39" s="137">
        <v>15000</v>
      </c>
      <c r="H39" s="116">
        <v>1000</v>
      </c>
      <c r="I39" s="154"/>
      <c r="J39" s="154"/>
      <c r="K39" s="33">
        <f>7439.85874+I39</f>
        <v>7439.8587399999997</v>
      </c>
      <c r="L39" s="154">
        <f>4849.88963+J39</f>
        <v>4849.8896299999997</v>
      </c>
      <c r="M39" s="80" t="s">
        <v>138</v>
      </c>
    </row>
    <row r="40" spans="1:18" ht="59.45" customHeight="1">
      <c r="A40" s="220" t="s">
        <v>67</v>
      </c>
      <c r="B40" s="159">
        <v>40350</v>
      </c>
      <c r="C40" s="159">
        <v>44030</v>
      </c>
      <c r="D40" s="52" t="s">
        <v>0</v>
      </c>
      <c r="E40" s="52">
        <f>57986+10639</f>
        <v>68625</v>
      </c>
      <c r="F40" s="160"/>
      <c r="G40" s="193">
        <v>59650</v>
      </c>
      <c r="H40" s="195"/>
      <c r="I40" s="192">
        <v>25638.007799999999</v>
      </c>
      <c r="J40" s="192"/>
      <c r="K40" s="218">
        <f>358756.19854+I40</f>
        <v>384394.20634000003</v>
      </c>
      <c r="L40" s="192"/>
      <c r="M40" s="156" t="s">
        <v>139</v>
      </c>
    </row>
    <row r="41" spans="1:18" ht="107.25" customHeight="1">
      <c r="A41" s="220"/>
      <c r="B41" s="159"/>
      <c r="C41" s="159"/>
      <c r="D41" s="52" t="s">
        <v>1</v>
      </c>
      <c r="E41" s="52">
        <f>48886+73000+20000</f>
        <v>141886</v>
      </c>
      <c r="F41" s="160"/>
      <c r="G41" s="194"/>
      <c r="H41" s="195"/>
      <c r="I41" s="192"/>
      <c r="J41" s="192"/>
      <c r="K41" s="219"/>
      <c r="L41" s="192"/>
      <c r="M41" s="156"/>
    </row>
    <row r="42" spans="1:18" ht="104.25" customHeight="1">
      <c r="A42" s="58" t="s">
        <v>49</v>
      </c>
      <c r="B42" s="51">
        <v>40996</v>
      </c>
      <c r="C42" s="51">
        <v>43403</v>
      </c>
      <c r="D42" s="52" t="s">
        <v>1</v>
      </c>
      <c r="E42" s="52">
        <v>60000</v>
      </c>
      <c r="F42" s="52"/>
      <c r="G42" s="137">
        <v>30</v>
      </c>
      <c r="H42" s="116"/>
      <c r="I42" s="137"/>
      <c r="J42" s="34"/>
      <c r="K42" s="137">
        <f>102881.35442+I42</f>
        <v>102881.35442</v>
      </c>
      <c r="L42" s="137"/>
      <c r="M42" s="80" t="s">
        <v>92</v>
      </c>
    </row>
    <row r="43" spans="1:18" ht="27.6" customHeight="1">
      <c r="A43" s="220" t="s">
        <v>15</v>
      </c>
      <c r="B43" s="159">
        <v>41222</v>
      </c>
      <c r="C43" s="159">
        <v>43830</v>
      </c>
      <c r="D43" s="52" t="s">
        <v>0</v>
      </c>
      <c r="E43" s="52">
        <v>19800</v>
      </c>
      <c r="F43" s="52"/>
      <c r="G43" s="192">
        <v>8500</v>
      </c>
      <c r="H43" s="195"/>
      <c r="I43" s="192">
        <v>7602.3985000000002</v>
      </c>
      <c r="J43" s="192"/>
      <c r="K43" s="192">
        <f>57667.72863+I43</f>
        <v>65270.127130000001</v>
      </c>
      <c r="L43" s="192"/>
      <c r="M43" s="156" t="s">
        <v>109</v>
      </c>
    </row>
    <row r="44" spans="1:18" ht="39.75" customHeight="1">
      <c r="A44" s="220"/>
      <c r="B44" s="159"/>
      <c r="C44" s="159"/>
      <c r="D44" s="52" t="s">
        <v>1</v>
      </c>
      <c r="E44" s="52">
        <v>9000</v>
      </c>
      <c r="F44" s="52"/>
      <c r="G44" s="192"/>
      <c r="H44" s="195"/>
      <c r="I44" s="192"/>
      <c r="J44" s="192"/>
      <c r="K44" s="192"/>
      <c r="L44" s="192"/>
      <c r="M44" s="156"/>
    </row>
    <row r="45" spans="1:18" ht="59.25" customHeight="1">
      <c r="A45" s="58" t="s">
        <v>33</v>
      </c>
      <c r="B45" s="51">
        <v>42223</v>
      </c>
      <c r="C45" s="51">
        <v>43830</v>
      </c>
      <c r="D45" s="52" t="s">
        <v>1</v>
      </c>
      <c r="E45" s="52">
        <v>60000</v>
      </c>
      <c r="F45" s="52"/>
      <c r="G45" s="137">
        <v>24000</v>
      </c>
      <c r="H45" s="116"/>
      <c r="I45" s="154">
        <v>7617.6431899999998</v>
      </c>
      <c r="J45" s="154"/>
      <c r="K45" s="154">
        <f>31101.72865+I45</f>
        <v>38719.37184</v>
      </c>
      <c r="L45" s="154"/>
      <c r="M45" s="80" t="s">
        <v>93</v>
      </c>
    </row>
    <row r="46" spans="1:18" ht="63" customHeight="1">
      <c r="A46" s="56" t="s">
        <v>34</v>
      </c>
      <c r="B46" s="51">
        <v>42136</v>
      </c>
      <c r="C46" s="51">
        <v>43963</v>
      </c>
      <c r="D46" s="52" t="s">
        <v>4</v>
      </c>
      <c r="E46" s="52">
        <v>4300</v>
      </c>
      <c r="F46" s="52">
        <v>1843</v>
      </c>
      <c r="G46" s="137">
        <v>1000</v>
      </c>
      <c r="H46" s="116"/>
      <c r="I46" s="154">
        <v>474.85966999999999</v>
      </c>
      <c r="J46" s="154"/>
      <c r="K46" s="154">
        <f>119.7894+I46</f>
        <v>594.64906999999994</v>
      </c>
      <c r="L46" s="154"/>
      <c r="M46" s="80" t="s">
        <v>94</v>
      </c>
    </row>
    <row r="47" spans="1:18" ht="63" customHeight="1">
      <c r="A47" s="56" t="s">
        <v>58</v>
      </c>
      <c r="B47" s="51">
        <v>42563</v>
      </c>
      <c r="C47" s="51">
        <v>43766</v>
      </c>
      <c r="D47" s="52" t="s">
        <v>4</v>
      </c>
      <c r="E47" s="52">
        <v>10000</v>
      </c>
      <c r="F47" s="52">
        <v>2000</v>
      </c>
      <c r="G47" s="137"/>
      <c r="H47" s="116">
        <v>500</v>
      </c>
      <c r="I47" s="154"/>
      <c r="J47" s="154">
        <v>360.59451000000001</v>
      </c>
      <c r="K47" s="154">
        <f>12332.76308+I47</f>
        <v>12332.763080000001</v>
      </c>
      <c r="L47" s="35">
        <f>5280.39061+J47</f>
        <v>5640.9851200000003</v>
      </c>
      <c r="M47" s="80" t="s">
        <v>95</v>
      </c>
    </row>
    <row r="48" spans="1:18" s="3" customFormat="1" ht="71.25" customHeight="1">
      <c r="A48" s="115" t="s">
        <v>126</v>
      </c>
      <c r="B48" s="119">
        <v>43285</v>
      </c>
      <c r="C48" s="120">
        <v>44016</v>
      </c>
      <c r="D48" s="114" t="s">
        <v>4</v>
      </c>
      <c r="E48" s="114">
        <v>2830</v>
      </c>
      <c r="F48" s="114">
        <v>1870</v>
      </c>
      <c r="G48" s="137">
        <v>3000</v>
      </c>
      <c r="H48" s="116">
        <v>1000</v>
      </c>
      <c r="I48" s="155"/>
      <c r="J48" s="144"/>
      <c r="K48" s="155"/>
      <c r="L48" s="155"/>
      <c r="M48" s="80" t="s">
        <v>157</v>
      </c>
      <c r="N48" s="1"/>
      <c r="O48" s="1"/>
      <c r="P48" s="1"/>
      <c r="Q48" s="1"/>
      <c r="R48" s="1"/>
    </row>
    <row r="49" spans="1:18" s="3" customFormat="1" ht="78" customHeight="1">
      <c r="A49" s="56" t="s">
        <v>41</v>
      </c>
      <c r="B49" s="51">
        <v>42411</v>
      </c>
      <c r="C49" s="51">
        <v>44238</v>
      </c>
      <c r="D49" s="52" t="s">
        <v>4</v>
      </c>
      <c r="E49" s="52">
        <v>100000</v>
      </c>
      <c r="F49" s="52"/>
      <c r="G49" s="137">
        <v>59500</v>
      </c>
      <c r="H49" s="116"/>
      <c r="I49" s="154">
        <v>21609.410230000001</v>
      </c>
      <c r="J49" s="154"/>
      <c r="K49" s="154">
        <f>127652.683+I49</f>
        <v>149262.09323</v>
      </c>
      <c r="L49" s="154"/>
      <c r="M49" s="80" t="s">
        <v>96</v>
      </c>
      <c r="N49" s="1"/>
      <c r="O49" s="1"/>
      <c r="P49" s="1"/>
      <c r="Q49" s="1"/>
      <c r="R49" s="1"/>
    </row>
    <row r="50" spans="1:18" s="3" customFormat="1" ht="84" customHeight="1">
      <c r="A50" s="113" t="s">
        <v>61</v>
      </c>
      <c r="B50" s="111">
        <v>42713</v>
      </c>
      <c r="C50" s="111">
        <v>44561</v>
      </c>
      <c r="D50" s="107" t="s">
        <v>4</v>
      </c>
      <c r="E50" s="107">
        <v>100000</v>
      </c>
      <c r="F50" s="107"/>
      <c r="G50" s="137">
        <v>8000</v>
      </c>
      <c r="H50" s="116"/>
      <c r="I50" s="147"/>
      <c r="J50" s="147"/>
      <c r="K50" s="147"/>
      <c r="L50" s="147"/>
      <c r="M50" s="118" t="s">
        <v>140</v>
      </c>
      <c r="N50" s="1"/>
      <c r="O50" s="1"/>
      <c r="P50" s="1"/>
      <c r="Q50" s="1"/>
      <c r="R50" s="1"/>
    </row>
    <row r="51" spans="1:18" s="3" customFormat="1" ht="110.25" customHeight="1">
      <c r="A51" s="132" t="s">
        <v>145</v>
      </c>
      <c r="B51" s="130">
        <v>41884</v>
      </c>
      <c r="C51" s="130">
        <v>43830</v>
      </c>
      <c r="D51" s="129" t="s">
        <v>4</v>
      </c>
      <c r="E51" s="129">
        <v>13200</v>
      </c>
      <c r="F51" s="129"/>
      <c r="G51" s="137"/>
      <c r="H51" s="131"/>
      <c r="I51" s="147">
        <v>180.53817000000001</v>
      </c>
      <c r="J51" s="34"/>
      <c r="K51" s="147">
        <f>30507.38324+I51</f>
        <v>30687.921409999999</v>
      </c>
      <c r="L51" s="147"/>
      <c r="M51" s="138" t="s">
        <v>146</v>
      </c>
      <c r="N51" s="1"/>
      <c r="O51" s="1"/>
      <c r="P51" s="1"/>
      <c r="Q51" s="1"/>
      <c r="R51" s="1"/>
    </row>
    <row r="52" spans="1:18" s="3" customFormat="1" ht="86.25" customHeight="1">
      <c r="A52" s="113" t="s">
        <v>127</v>
      </c>
      <c r="B52" s="119">
        <v>43035</v>
      </c>
      <c r="C52" s="119">
        <v>44925</v>
      </c>
      <c r="D52" s="114" t="s">
        <v>4</v>
      </c>
      <c r="E52" s="114">
        <v>30000</v>
      </c>
      <c r="F52" s="114">
        <v>2000</v>
      </c>
      <c r="G52" s="137">
        <v>1000</v>
      </c>
      <c r="H52" s="116">
        <v>1000</v>
      </c>
      <c r="I52" s="114"/>
      <c r="J52" s="114"/>
      <c r="K52" s="114"/>
      <c r="L52" s="114"/>
      <c r="M52" s="118" t="s">
        <v>150</v>
      </c>
      <c r="N52" s="1"/>
      <c r="O52" s="1"/>
      <c r="P52" s="1"/>
      <c r="Q52" s="1"/>
      <c r="R52" s="1"/>
    </row>
    <row r="53" spans="1:18" s="3" customFormat="1" ht="96" customHeight="1" thickBot="1">
      <c r="A53" s="113" t="s">
        <v>128</v>
      </c>
      <c r="B53" s="121">
        <v>27.112017999999999</v>
      </c>
      <c r="C53" s="121">
        <v>27.112020999999999</v>
      </c>
      <c r="D53" s="62" t="s">
        <v>4</v>
      </c>
      <c r="E53" s="62">
        <v>15000</v>
      </c>
      <c r="F53" s="62"/>
      <c r="G53" s="62">
        <v>20000</v>
      </c>
      <c r="H53" s="70"/>
      <c r="I53" s="62"/>
      <c r="J53" s="62"/>
      <c r="K53" s="63"/>
      <c r="L53" s="62"/>
      <c r="M53" s="118" t="s">
        <v>144</v>
      </c>
      <c r="N53" s="1"/>
      <c r="O53" s="1"/>
      <c r="P53" s="1"/>
      <c r="Q53" s="1"/>
      <c r="R53" s="1"/>
    </row>
    <row r="54" spans="1:18" s="7" customFormat="1" ht="23.25" customHeight="1" thickBot="1">
      <c r="A54" s="215" t="s">
        <v>8</v>
      </c>
      <c r="B54" s="216"/>
      <c r="C54" s="216"/>
      <c r="D54" s="216"/>
      <c r="E54" s="216"/>
      <c r="F54" s="217"/>
      <c r="G54" s="36">
        <f>SUM(G55:G62)</f>
        <v>156290</v>
      </c>
      <c r="H54" s="36">
        <f t="shared" ref="H54:L54" si="2">SUM(H55:H62)</f>
        <v>11695</v>
      </c>
      <c r="I54" s="36">
        <f>SUM(I55:I62)</f>
        <v>107079.09049</v>
      </c>
      <c r="J54" s="36">
        <f t="shared" si="2"/>
        <v>9333.8786999999993</v>
      </c>
      <c r="K54" s="36">
        <f t="shared" si="2"/>
        <v>774452.56507399993</v>
      </c>
      <c r="L54" s="36">
        <f t="shared" si="2"/>
        <v>106954.30079000001</v>
      </c>
      <c r="M54" s="86"/>
    </row>
    <row r="55" spans="1:18" ht="56.25" customHeight="1">
      <c r="A55" s="55" t="s">
        <v>62</v>
      </c>
      <c r="B55" s="57">
        <v>39626</v>
      </c>
      <c r="C55" s="57">
        <v>43373</v>
      </c>
      <c r="D55" s="54" t="s">
        <v>4</v>
      </c>
      <c r="E55" s="54">
        <v>3700</v>
      </c>
      <c r="F55" s="54">
        <v>1814</v>
      </c>
      <c r="G55" s="106">
        <v>1500</v>
      </c>
      <c r="H55" s="108"/>
      <c r="I55" s="148">
        <v>342.8655</v>
      </c>
      <c r="J55" s="153"/>
      <c r="K55" s="148">
        <f>6580.461404+I55</f>
        <v>6923.3269039999996</v>
      </c>
      <c r="L55" s="148">
        <f>3649.68102+J55</f>
        <v>3649.68102</v>
      </c>
      <c r="M55" s="85" t="s">
        <v>97</v>
      </c>
    </row>
    <row r="56" spans="1:18" ht="182.45" customHeight="1">
      <c r="A56" s="158" t="s">
        <v>51</v>
      </c>
      <c r="B56" s="159">
        <v>40673</v>
      </c>
      <c r="C56" s="159">
        <v>44284</v>
      </c>
      <c r="D56" s="52" t="s">
        <v>0</v>
      </c>
      <c r="E56" s="52">
        <f>51343+25047+64205+23005</f>
        <v>163600</v>
      </c>
      <c r="F56" s="160"/>
      <c r="G56" s="160">
        <v>122700</v>
      </c>
      <c r="H56" s="161"/>
      <c r="I56" s="161">
        <v>79556.772949999999</v>
      </c>
      <c r="J56" s="165"/>
      <c r="K56" s="160">
        <f>491362.10463+I56</f>
        <v>570918.87757999997</v>
      </c>
      <c r="L56" s="160"/>
      <c r="M56" s="156" t="s">
        <v>169</v>
      </c>
    </row>
    <row r="57" spans="1:18" ht="258" customHeight="1">
      <c r="A57" s="158"/>
      <c r="B57" s="159"/>
      <c r="C57" s="159"/>
      <c r="D57" s="52" t="s">
        <v>1</v>
      </c>
      <c r="E57" s="52">
        <f>108000+43000+99000</f>
        <v>250000</v>
      </c>
      <c r="F57" s="160"/>
      <c r="G57" s="160"/>
      <c r="H57" s="161"/>
      <c r="I57" s="161"/>
      <c r="J57" s="165"/>
      <c r="K57" s="160"/>
      <c r="L57" s="160"/>
      <c r="M57" s="156"/>
    </row>
    <row r="58" spans="1:18" ht="72.75" customHeight="1">
      <c r="A58" s="78" t="s">
        <v>76</v>
      </c>
      <c r="B58" s="77" t="s">
        <v>75</v>
      </c>
      <c r="C58" s="77">
        <v>44119</v>
      </c>
      <c r="D58" s="74" t="s">
        <v>4</v>
      </c>
      <c r="E58" s="76">
        <v>100</v>
      </c>
      <c r="F58" s="76"/>
      <c r="G58" s="107"/>
      <c r="H58" s="109">
        <v>2500</v>
      </c>
      <c r="I58" s="66"/>
      <c r="J58" s="88"/>
      <c r="K58" s="149">
        <f>35.07802+I58</f>
        <v>35.078020000000002</v>
      </c>
      <c r="L58" s="66"/>
      <c r="M58" s="80" t="s">
        <v>141</v>
      </c>
    </row>
    <row r="59" spans="1:18" ht="149.25" customHeight="1">
      <c r="A59" s="56" t="s">
        <v>50</v>
      </c>
      <c r="B59" s="51">
        <v>40773</v>
      </c>
      <c r="C59" s="51">
        <v>44284</v>
      </c>
      <c r="D59" s="53" t="s">
        <v>4</v>
      </c>
      <c r="E59" s="53">
        <f>2988.339+4000+20000</f>
        <v>26988.339</v>
      </c>
      <c r="F59" s="53">
        <f>4500+6728.536+9000+4000+7000</f>
        <v>31228.536</v>
      </c>
      <c r="G59" s="107">
        <v>18400</v>
      </c>
      <c r="H59" s="109">
        <v>2850</v>
      </c>
      <c r="I59" s="152">
        <v>8697.8043300000008</v>
      </c>
      <c r="J59" s="152">
        <v>4738.1338100000003</v>
      </c>
      <c r="K59" s="149">
        <f>46200.7648+I59</f>
        <v>54898.569129999996</v>
      </c>
      <c r="L59" s="152">
        <f>57507.50654+J59</f>
        <v>62245.640350000001</v>
      </c>
      <c r="M59" s="80" t="s">
        <v>98</v>
      </c>
    </row>
    <row r="60" spans="1:18" ht="55.5" customHeight="1">
      <c r="A60" s="56" t="s">
        <v>47</v>
      </c>
      <c r="B60" s="51">
        <v>42360</v>
      </c>
      <c r="C60" s="51">
        <v>44012</v>
      </c>
      <c r="D60" s="52" t="s">
        <v>4</v>
      </c>
      <c r="E60" s="52">
        <v>30000</v>
      </c>
      <c r="F60" s="52">
        <v>2000</v>
      </c>
      <c r="G60" s="107">
        <v>9690</v>
      </c>
      <c r="H60" s="109">
        <v>4345</v>
      </c>
      <c r="I60" s="149">
        <v>12845.438410000001</v>
      </c>
      <c r="J60" s="149">
        <v>220.72931</v>
      </c>
      <c r="K60" s="149">
        <f>34681.49112+I60</f>
        <v>47526.929530000001</v>
      </c>
      <c r="L60" s="149">
        <f>3499.04143+J60</f>
        <v>3719.7707400000004</v>
      </c>
      <c r="M60" s="80" t="s">
        <v>99</v>
      </c>
    </row>
    <row r="61" spans="1:18" ht="57" customHeight="1">
      <c r="A61" s="56" t="s">
        <v>59</v>
      </c>
      <c r="B61" s="51">
        <v>41506</v>
      </c>
      <c r="C61" s="28">
        <v>43332</v>
      </c>
      <c r="D61" s="52" t="s">
        <v>4</v>
      </c>
      <c r="E61" s="52">
        <v>40000</v>
      </c>
      <c r="F61" s="52">
        <v>8000</v>
      </c>
      <c r="G61" s="107">
        <v>4000</v>
      </c>
      <c r="H61" s="109">
        <v>700</v>
      </c>
      <c r="I61" s="149">
        <v>5636.2093000000004</v>
      </c>
      <c r="J61" s="152">
        <v>1456.9851799999999</v>
      </c>
      <c r="K61" s="149">
        <f>88513.57461+I61</f>
        <v>94149.783909999998</v>
      </c>
      <c r="L61" s="149">
        <f>17820.5113+J61</f>
        <v>19277.496479999998</v>
      </c>
      <c r="M61" s="80" t="s">
        <v>100</v>
      </c>
    </row>
    <row r="62" spans="1:18" ht="55.5" customHeight="1" thickBot="1">
      <c r="A62" s="29" t="s">
        <v>52</v>
      </c>
      <c r="B62" s="30">
        <v>41480</v>
      </c>
      <c r="C62" s="30">
        <v>43889</v>
      </c>
      <c r="D62" s="31" t="s">
        <v>1</v>
      </c>
      <c r="E62" s="31"/>
      <c r="F62" s="31">
        <v>10052.155000000001</v>
      </c>
      <c r="G62" s="31"/>
      <c r="H62" s="68">
        <v>1300</v>
      </c>
      <c r="I62" s="31"/>
      <c r="J62" s="37">
        <v>2918.0304000000001</v>
      </c>
      <c r="K62" s="31"/>
      <c r="L62" s="31">
        <f>15143.6818+J62</f>
        <v>18061.712200000002</v>
      </c>
      <c r="M62" s="84" t="s">
        <v>73</v>
      </c>
    </row>
    <row r="63" spans="1:18" s="7" customFormat="1" ht="30" customHeight="1" thickBot="1">
      <c r="A63" s="162" t="s">
        <v>25</v>
      </c>
      <c r="B63" s="163"/>
      <c r="C63" s="163"/>
      <c r="D63" s="163"/>
      <c r="E63" s="163"/>
      <c r="F63" s="164"/>
      <c r="G63" s="38">
        <f>SUM(G64:G75)</f>
        <v>86600</v>
      </c>
      <c r="H63" s="38">
        <f t="shared" ref="H63:L63" si="3">SUM(H64:H75)</f>
        <v>14000</v>
      </c>
      <c r="I63" s="38">
        <f t="shared" si="3"/>
        <v>5998.7963400000008</v>
      </c>
      <c r="J63" s="38">
        <f t="shared" si="3"/>
        <v>0</v>
      </c>
      <c r="K63" s="38">
        <f t="shared" si="3"/>
        <v>264202.52190500003</v>
      </c>
      <c r="L63" s="38">
        <f t="shared" si="3"/>
        <v>20950.680079999998</v>
      </c>
      <c r="M63" s="87"/>
    </row>
    <row r="64" spans="1:18" ht="98.25" customHeight="1">
      <c r="A64" s="89" t="s">
        <v>88</v>
      </c>
      <c r="B64" s="90">
        <v>43105</v>
      </c>
      <c r="C64" s="90" t="s">
        <v>89</v>
      </c>
      <c r="D64" s="79" t="s">
        <v>4</v>
      </c>
      <c r="E64" s="79">
        <v>28000</v>
      </c>
      <c r="F64" s="79">
        <v>7000</v>
      </c>
      <c r="G64" s="106">
        <v>15000</v>
      </c>
      <c r="H64" s="108">
        <v>10000</v>
      </c>
      <c r="I64" s="140">
        <v>356.97039999999998</v>
      </c>
      <c r="J64" s="71"/>
      <c r="K64" s="139">
        <f>2588.27771+I64</f>
        <v>2945.24811</v>
      </c>
      <c r="L64" s="139"/>
      <c r="M64" s="85" t="s">
        <v>112</v>
      </c>
    </row>
    <row r="65" spans="1:13" ht="49.5" customHeight="1">
      <c r="A65" s="58" t="s">
        <v>39</v>
      </c>
      <c r="B65" s="166">
        <v>41572</v>
      </c>
      <c r="C65" s="166">
        <v>43463</v>
      </c>
      <c r="D65" s="169" t="s">
        <v>4</v>
      </c>
      <c r="E65" s="169">
        <f>25200+35000</f>
        <v>60200</v>
      </c>
      <c r="F65" s="52">
        <v>8000</v>
      </c>
      <c r="G65" s="107">
        <v>6400</v>
      </c>
      <c r="H65" s="109"/>
      <c r="I65" s="134">
        <v>666.02692999999999</v>
      </c>
      <c r="J65" s="134"/>
      <c r="K65" s="134">
        <f>92412.661955+I65</f>
        <v>93078.68888500001</v>
      </c>
      <c r="L65" s="134">
        <v>20950.680079999998</v>
      </c>
      <c r="M65" s="156" t="s">
        <v>101</v>
      </c>
    </row>
    <row r="66" spans="1:13" ht="40.5" customHeight="1">
      <c r="A66" s="58" t="s">
        <v>60</v>
      </c>
      <c r="B66" s="167"/>
      <c r="C66" s="167"/>
      <c r="D66" s="170"/>
      <c r="E66" s="170"/>
      <c r="F66" s="52"/>
      <c r="G66" s="107">
        <v>4700</v>
      </c>
      <c r="H66" s="109"/>
      <c r="I66" s="134">
        <v>3517.7945300000001</v>
      </c>
      <c r="J66" s="134"/>
      <c r="K66" s="134">
        <v>48737.684800000003</v>
      </c>
      <c r="L66" s="134"/>
      <c r="M66" s="156"/>
    </row>
    <row r="67" spans="1:13" ht="69.75" customHeight="1">
      <c r="A67" s="56" t="s">
        <v>63</v>
      </c>
      <c r="B67" s="168"/>
      <c r="C67" s="168"/>
      <c r="D67" s="171"/>
      <c r="E67" s="171"/>
      <c r="F67" s="52"/>
      <c r="G67" s="93"/>
      <c r="H67" s="94"/>
      <c r="I67" s="134"/>
      <c r="J67" s="135"/>
      <c r="K67" s="134">
        <v>5120.6747100000002</v>
      </c>
      <c r="L67" s="134"/>
      <c r="M67" s="80" t="s">
        <v>102</v>
      </c>
    </row>
    <row r="68" spans="1:13" ht="93" customHeight="1">
      <c r="A68" s="99" t="s">
        <v>117</v>
      </c>
      <c r="B68" s="101">
        <v>42838</v>
      </c>
      <c r="C68" s="101">
        <v>44742</v>
      </c>
      <c r="D68" s="98" t="s">
        <v>4</v>
      </c>
      <c r="E68" s="98">
        <v>125000</v>
      </c>
      <c r="F68" s="96"/>
      <c r="G68" s="107">
        <v>5000</v>
      </c>
      <c r="H68" s="109">
        <v>4000</v>
      </c>
      <c r="I68" s="134"/>
      <c r="J68" s="135"/>
      <c r="K68" s="134"/>
      <c r="L68" s="134"/>
      <c r="M68" s="100" t="s">
        <v>129</v>
      </c>
    </row>
    <row r="69" spans="1:13" ht="96.75" customHeight="1">
      <c r="A69" s="56" t="s">
        <v>40</v>
      </c>
      <c r="B69" s="159">
        <v>41885</v>
      </c>
      <c r="C69" s="159">
        <v>44378</v>
      </c>
      <c r="D69" s="52" t="s">
        <v>1</v>
      </c>
      <c r="E69" s="160">
        <v>60000</v>
      </c>
      <c r="F69" s="52"/>
      <c r="G69" s="107">
        <v>10000</v>
      </c>
      <c r="H69" s="109"/>
      <c r="I69" s="142">
        <v>1458.0044800000001</v>
      </c>
      <c r="J69" s="143"/>
      <c r="K69" s="142">
        <f>112430.30228+I69</f>
        <v>113888.30676000001</v>
      </c>
      <c r="L69" s="142"/>
      <c r="M69" s="80" t="s">
        <v>103</v>
      </c>
    </row>
    <row r="70" spans="1:13" ht="47.25" customHeight="1">
      <c r="A70" s="56" t="s">
        <v>64</v>
      </c>
      <c r="B70" s="159"/>
      <c r="C70" s="159"/>
      <c r="D70" s="52" t="s">
        <v>1</v>
      </c>
      <c r="E70" s="183"/>
      <c r="F70" s="52"/>
      <c r="G70" s="107"/>
      <c r="H70" s="109"/>
      <c r="I70" s="134"/>
      <c r="J70" s="135"/>
      <c r="K70" s="134">
        <f>431.91864+I70</f>
        <v>431.91863999999998</v>
      </c>
      <c r="L70" s="134"/>
      <c r="M70" s="80" t="s">
        <v>104</v>
      </c>
    </row>
    <row r="71" spans="1:13" ht="163.5" customHeight="1">
      <c r="A71" s="99" t="s">
        <v>118</v>
      </c>
      <c r="B71" s="97"/>
      <c r="C71" s="97"/>
      <c r="D71" s="122" t="s">
        <v>4</v>
      </c>
      <c r="E71" s="107"/>
      <c r="F71" s="107"/>
      <c r="G71" s="107">
        <v>13500</v>
      </c>
      <c r="H71" s="109"/>
      <c r="I71" s="107"/>
      <c r="J71" s="112"/>
      <c r="K71" s="107"/>
      <c r="L71" s="96"/>
      <c r="M71" s="100" t="s">
        <v>119</v>
      </c>
    </row>
    <row r="72" spans="1:13" ht="73.5" customHeight="1">
      <c r="A72" s="99" t="s">
        <v>120</v>
      </c>
      <c r="B72" s="97"/>
      <c r="C72" s="97"/>
      <c r="D72" s="122" t="s">
        <v>1</v>
      </c>
      <c r="E72" s="107"/>
      <c r="F72" s="107"/>
      <c r="G72" s="107">
        <v>9000</v>
      </c>
      <c r="H72" s="109"/>
      <c r="I72" s="107"/>
      <c r="J72" s="112"/>
      <c r="K72" s="107"/>
      <c r="L72" s="97"/>
      <c r="M72" s="100" t="s">
        <v>121</v>
      </c>
    </row>
    <row r="73" spans="1:13" ht="104.25" customHeight="1">
      <c r="A73" s="99" t="s">
        <v>122</v>
      </c>
      <c r="B73" s="97"/>
      <c r="C73" s="97"/>
      <c r="D73" s="122" t="s">
        <v>4</v>
      </c>
      <c r="E73" s="107"/>
      <c r="F73" s="107"/>
      <c r="G73" s="107">
        <v>4500</v>
      </c>
      <c r="H73" s="109"/>
      <c r="I73" s="107"/>
      <c r="J73" s="112"/>
      <c r="K73" s="107"/>
      <c r="L73" s="97"/>
      <c r="M73" s="100" t="s">
        <v>123</v>
      </c>
    </row>
    <row r="74" spans="1:13" ht="51" customHeight="1">
      <c r="A74" s="117" t="s">
        <v>131</v>
      </c>
      <c r="B74" s="111"/>
      <c r="C74" s="28"/>
      <c r="D74" s="122" t="s">
        <v>4</v>
      </c>
      <c r="E74" s="107"/>
      <c r="F74" s="107"/>
      <c r="G74" s="107">
        <v>9500</v>
      </c>
      <c r="H74" s="109"/>
      <c r="I74" s="107"/>
      <c r="J74" s="112"/>
      <c r="K74" s="107"/>
      <c r="L74" s="109"/>
      <c r="M74" s="118" t="s">
        <v>133</v>
      </c>
    </row>
    <row r="75" spans="1:13" ht="45" customHeight="1" thickBot="1">
      <c r="A75" s="117" t="s">
        <v>132</v>
      </c>
      <c r="B75" s="111"/>
      <c r="C75" s="28"/>
      <c r="D75" s="122" t="s">
        <v>4</v>
      </c>
      <c r="E75" s="107"/>
      <c r="F75" s="107"/>
      <c r="G75" s="107">
        <v>9000</v>
      </c>
      <c r="H75" s="109"/>
      <c r="I75" s="107"/>
      <c r="J75" s="112"/>
      <c r="K75" s="107"/>
      <c r="L75" s="109"/>
      <c r="M75" s="118" t="s">
        <v>133</v>
      </c>
    </row>
    <row r="76" spans="1:13" s="7" customFormat="1" ht="42.75" customHeight="1" thickBot="1">
      <c r="A76" s="215" t="s">
        <v>26</v>
      </c>
      <c r="B76" s="216"/>
      <c r="C76" s="216"/>
      <c r="D76" s="216"/>
      <c r="E76" s="216"/>
      <c r="F76" s="217"/>
      <c r="G76" s="36">
        <f>G77+G80+G81</f>
        <v>19830</v>
      </c>
      <c r="H76" s="36">
        <f>SUM(H77:H82)</f>
        <v>4310</v>
      </c>
      <c r="I76" s="36">
        <f>SUM(I77:I82)</f>
        <v>11170.532649999999</v>
      </c>
      <c r="J76" s="36">
        <f>SUM(J77:J82)</f>
        <v>2243.87806</v>
      </c>
      <c r="K76" s="36">
        <f>SUM(K77:K82)</f>
        <v>77016.071815999981</v>
      </c>
      <c r="L76" s="36">
        <f>SUM(L77:L82)</f>
        <v>8847.3616000000002</v>
      </c>
      <c r="M76" s="86"/>
    </row>
    <row r="77" spans="1:13" ht="66.599999999999994" customHeight="1">
      <c r="A77" s="181" t="s">
        <v>18</v>
      </c>
      <c r="B77" s="39">
        <v>42052</v>
      </c>
      <c r="C77" s="40">
        <v>44121</v>
      </c>
      <c r="D77" s="54" t="s">
        <v>0</v>
      </c>
      <c r="E77" s="54">
        <v>8610</v>
      </c>
      <c r="F77" s="54"/>
      <c r="G77" s="177">
        <v>6730</v>
      </c>
      <c r="H77" s="182">
        <v>4070</v>
      </c>
      <c r="I77" s="177">
        <v>6805.2087000000001</v>
      </c>
      <c r="J77" s="177">
        <v>2243.87806</v>
      </c>
      <c r="K77" s="177">
        <f>16279.05301+I77</f>
        <v>23084.261709999999</v>
      </c>
      <c r="L77" s="177">
        <f>6102.55654+J77</f>
        <v>8346.4346000000005</v>
      </c>
      <c r="M77" s="178" t="s">
        <v>170</v>
      </c>
    </row>
    <row r="78" spans="1:13" ht="78" customHeight="1">
      <c r="A78" s="158"/>
      <c r="B78" s="28">
        <v>41978</v>
      </c>
      <c r="C78" s="41">
        <v>42735</v>
      </c>
      <c r="D78" s="52" t="s">
        <v>1</v>
      </c>
      <c r="E78" s="52"/>
      <c r="F78" s="52">
        <v>500</v>
      </c>
      <c r="G78" s="160"/>
      <c r="H78" s="161"/>
      <c r="I78" s="160"/>
      <c r="J78" s="160"/>
      <c r="K78" s="160"/>
      <c r="L78" s="160"/>
      <c r="M78" s="179"/>
    </row>
    <row r="79" spans="1:13" ht="196.5" customHeight="1">
      <c r="A79" s="158"/>
      <c r="B79" s="28">
        <v>42052</v>
      </c>
      <c r="C79" s="42">
        <v>43513</v>
      </c>
      <c r="D79" s="52" t="s">
        <v>1</v>
      </c>
      <c r="E79" s="52"/>
      <c r="F79" s="52">
        <v>5300</v>
      </c>
      <c r="G79" s="160"/>
      <c r="H79" s="161"/>
      <c r="I79" s="160"/>
      <c r="J79" s="160"/>
      <c r="K79" s="160"/>
      <c r="L79" s="160"/>
      <c r="M79" s="180"/>
    </row>
    <row r="80" spans="1:13" ht="71.25" customHeight="1">
      <c r="A80" s="158" t="s">
        <v>17</v>
      </c>
      <c r="B80" s="159">
        <v>41964</v>
      </c>
      <c r="C80" s="159">
        <v>44408</v>
      </c>
      <c r="D80" s="165" t="s">
        <v>0</v>
      </c>
      <c r="E80" s="160">
        <v>32400</v>
      </c>
      <c r="F80" s="160"/>
      <c r="G80" s="107">
        <v>11000</v>
      </c>
      <c r="H80" s="107"/>
      <c r="I80" s="149">
        <v>3527.4662899999998</v>
      </c>
      <c r="J80" s="152"/>
      <c r="K80" s="149">
        <f>45181.823066+I80</f>
        <v>48709.289355999994</v>
      </c>
      <c r="L80" s="149"/>
      <c r="M80" s="136" t="s">
        <v>105</v>
      </c>
    </row>
    <row r="81" spans="1:13" ht="66.75" customHeight="1">
      <c r="A81" s="158"/>
      <c r="B81" s="159"/>
      <c r="C81" s="159"/>
      <c r="D81" s="165"/>
      <c r="E81" s="160"/>
      <c r="F81" s="160"/>
      <c r="G81" s="107">
        <v>2100</v>
      </c>
      <c r="H81" s="107"/>
      <c r="I81" s="149">
        <v>837.85766000000001</v>
      </c>
      <c r="J81" s="152"/>
      <c r="K81" s="149">
        <f>4384.66309+I81</f>
        <v>5222.5207499999997</v>
      </c>
      <c r="L81" s="149"/>
      <c r="M81" s="133" t="s">
        <v>106</v>
      </c>
    </row>
    <row r="82" spans="1:13" ht="96.75" customHeight="1" thickBot="1">
      <c r="A82" s="29" t="s">
        <v>21</v>
      </c>
      <c r="B82" s="30">
        <v>41946</v>
      </c>
      <c r="C82" s="43">
        <v>43190</v>
      </c>
      <c r="D82" s="37" t="s">
        <v>4</v>
      </c>
      <c r="E82" s="31"/>
      <c r="F82" s="31">
        <v>861</v>
      </c>
      <c r="G82" s="31"/>
      <c r="H82" s="68">
        <v>240</v>
      </c>
      <c r="I82" s="68"/>
      <c r="J82" s="31"/>
      <c r="K82" s="31"/>
      <c r="L82" s="31">
        <f>500.927+J82</f>
        <v>500.92700000000002</v>
      </c>
      <c r="M82" s="84" t="s">
        <v>142</v>
      </c>
    </row>
    <row r="83" spans="1:13" s="7" customFormat="1" ht="29.25" customHeight="1" thickBot="1">
      <c r="A83" s="162" t="s">
        <v>27</v>
      </c>
      <c r="B83" s="163"/>
      <c r="C83" s="163"/>
      <c r="D83" s="163"/>
      <c r="E83" s="163"/>
      <c r="F83" s="164"/>
      <c r="G83" s="38">
        <f t="shared" ref="G83:L83" si="4">SUM(G84:G85)</f>
        <v>0</v>
      </c>
      <c r="H83" s="38">
        <f t="shared" si="4"/>
        <v>4645</v>
      </c>
      <c r="I83" s="38">
        <f t="shared" si="4"/>
        <v>0</v>
      </c>
      <c r="J83" s="38">
        <f t="shared" si="4"/>
        <v>1441.4933700000001</v>
      </c>
      <c r="K83" s="38">
        <f t="shared" si="4"/>
        <v>0</v>
      </c>
      <c r="L83" s="38">
        <f t="shared" si="4"/>
        <v>23504.327380000002</v>
      </c>
      <c r="M83" s="87"/>
    </row>
    <row r="84" spans="1:13" ht="164.25" customHeight="1">
      <c r="A84" s="55" t="s">
        <v>23</v>
      </c>
      <c r="B84" s="39">
        <v>40119</v>
      </c>
      <c r="C84" s="57">
        <v>43465</v>
      </c>
      <c r="D84" s="54" t="s">
        <v>4</v>
      </c>
      <c r="E84" s="54"/>
      <c r="F84" s="64">
        <v>2267</v>
      </c>
      <c r="G84" s="64"/>
      <c r="H84" s="108">
        <v>1345</v>
      </c>
      <c r="I84" s="141"/>
      <c r="J84" s="153">
        <v>725.90480000000002</v>
      </c>
      <c r="K84" s="148"/>
      <c r="L84" s="148">
        <f>6077.20889+J84</f>
        <v>6803.1136900000001</v>
      </c>
      <c r="M84" s="85" t="s">
        <v>107</v>
      </c>
    </row>
    <row r="85" spans="1:13" ht="191.25" customHeight="1" thickBot="1">
      <c r="A85" s="29" t="s">
        <v>16</v>
      </c>
      <c r="B85" s="43">
        <v>40589</v>
      </c>
      <c r="C85" s="43">
        <v>43100</v>
      </c>
      <c r="D85" s="37" t="s">
        <v>4</v>
      </c>
      <c r="E85" s="31"/>
      <c r="F85" s="31">
        <v>8250</v>
      </c>
      <c r="G85" s="31"/>
      <c r="H85" s="68">
        <v>3300</v>
      </c>
      <c r="I85" s="31"/>
      <c r="J85" s="31">
        <v>715.58857</v>
      </c>
      <c r="K85" s="31"/>
      <c r="L85" s="31">
        <f>15985.62512+J85</f>
        <v>16701.21369</v>
      </c>
      <c r="M85" s="84" t="s">
        <v>108</v>
      </c>
    </row>
    <row r="86" spans="1:13" s="7" customFormat="1" ht="33" customHeight="1" thickBot="1">
      <c r="A86" s="215" t="s">
        <v>5</v>
      </c>
      <c r="B86" s="216"/>
      <c r="C86" s="216"/>
      <c r="D86" s="216"/>
      <c r="E86" s="216"/>
      <c r="F86" s="217"/>
      <c r="G86" s="36">
        <f t="shared" ref="G86:L86" si="5">SUM(G87:G92)</f>
        <v>146300</v>
      </c>
      <c r="H86" s="36">
        <f t="shared" si="5"/>
        <v>42900</v>
      </c>
      <c r="I86" s="36">
        <f t="shared" si="5"/>
        <v>5023.6564900000003</v>
      </c>
      <c r="J86" s="36">
        <f t="shared" si="5"/>
        <v>59051.498760000002</v>
      </c>
      <c r="K86" s="36">
        <f t="shared" si="5"/>
        <v>244421.68674999996</v>
      </c>
      <c r="L86" s="36">
        <f t="shared" si="5"/>
        <v>340850.41075139999</v>
      </c>
      <c r="M86" s="86"/>
    </row>
    <row r="87" spans="1:13" ht="409.6" customHeight="1">
      <c r="A87" s="55" t="s">
        <v>65</v>
      </c>
      <c r="B87" s="39">
        <v>41103</v>
      </c>
      <c r="C87" s="39">
        <v>43767</v>
      </c>
      <c r="D87" s="59" t="s">
        <v>1</v>
      </c>
      <c r="E87" s="54"/>
      <c r="F87" s="54">
        <f>140000+2700</f>
        <v>142700</v>
      </c>
      <c r="G87" s="92"/>
      <c r="H87" s="108">
        <v>38900</v>
      </c>
      <c r="I87" s="148"/>
      <c r="J87" s="153">
        <v>59051.498760000002</v>
      </c>
      <c r="K87" s="148"/>
      <c r="L87" s="148">
        <f>281798.9119914+J87</f>
        <v>340850.41075139999</v>
      </c>
      <c r="M87" s="85" t="s">
        <v>156</v>
      </c>
    </row>
    <row r="88" spans="1:13" ht="72" customHeight="1">
      <c r="A88" s="102" t="s">
        <v>53</v>
      </c>
      <c r="B88" s="51">
        <v>42661</v>
      </c>
      <c r="C88" s="51">
        <v>44377</v>
      </c>
      <c r="D88" s="52" t="s">
        <v>4</v>
      </c>
      <c r="E88" s="52">
        <v>14000</v>
      </c>
      <c r="F88" s="52"/>
      <c r="G88" s="107">
        <v>1500</v>
      </c>
      <c r="H88" s="109">
        <v>1000</v>
      </c>
      <c r="I88" s="149">
        <v>24.3049</v>
      </c>
      <c r="J88" s="149"/>
      <c r="K88" s="149"/>
      <c r="L88" s="27">
        <v>0</v>
      </c>
      <c r="M88" s="80" t="s">
        <v>151</v>
      </c>
    </row>
    <row r="89" spans="1:13" ht="43.5" customHeight="1">
      <c r="A89" s="60" t="s">
        <v>42</v>
      </c>
      <c r="B89" s="48">
        <v>42346</v>
      </c>
      <c r="C89" s="48">
        <v>43228</v>
      </c>
      <c r="D89" s="49" t="s">
        <v>4</v>
      </c>
      <c r="E89" s="49">
        <v>82821</v>
      </c>
      <c r="F89" s="52"/>
      <c r="G89" s="107">
        <v>55000</v>
      </c>
      <c r="H89" s="109"/>
      <c r="I89" s="149"/>
      <c r="J89" s="149"/>
      <c r="K89" s="149">
        <f>226048.34892+I89</f>
        <v>226048.34891999999</v>
      </c>
      <c r="L89" s="149"/>
      <c r="M89" s="80" t="s">
        <v>70</v>
      </c>
    </row>
    <row r="90" spans="1:13" ht="71.25" customHeight="1">
      <c r="A90" s="61" t="s">
        <v>68</v>
      </c>
      <c r="B90" s="48">
        <v>42929</v>
      </c>
      <c r="C90" s="48">
        <v>43830</v>
      </c>
      <c r="D90" s="49" t="s">
        <v>4</v>
      </c>
      <c r="E90" s="49">
        <v>5500</v>
      </c>
      <c r="F90" s="52">
        <v>1500</v>
      </c>
      <c r="G90" s="107">
        <v>4800</v>
      </c>
      <c r="H90" s="109">
        <v>3000</v>
      </c>
      <c r="I90" s="149">
        <v>1017.89769</v>
      </c>
      <c r="J90" s="149"/>
      <c r="K90" s="149">
        <f>8749.28036+I90</f>
        <v>9767.1780500000004</v>
      </c>
      <c r="L90" s="27">
        <v>0</v>
      </c>
      <c r="M90" s="80" t="s">
        <v>143</v>
      </c>
    </row>
    <row r="91" spans="1:13" ht="39.75" customHeight="1">
      <c r="A91" s="61" t="s">
        <v>130</v>
      </c>
      <c r="B91" s="103"/>
      <c r="C91" s="103"/>
      <c r="D91" s="104"/>
      <c r="E91" s="104"/>
      <c r="F91" s="110"/>
      <c r="G91" s="110">
        <v>75000</v>
      </c>
      <c r="H91" s="104"/>
      <c r="I91" s="151"/>
      <c r="J91" s="151"/>
      <c r="K91" s="123"/>
      <c r="L91" s="123"/>
      <c r="M91" s="105" t="s">
        <v>133</v>
      </c>
    </row>
    <row r="92" spans="1:13" s="9" customFormat="1" ht="123" customHeight="1" thickBot="1">
      <c r="A92" s="29" t="s">
        <v>35</v>
      </c>
      <c r="B92" s="43">
        <v>42457</v>
      </c>
      <c r="C92" s="43">
        <v>44316</v>
      </c>
      <c r="D92" s="37" t="s">
        <v>1</v>
      </c>
      <c r="E92" s="31">
        <v>40000</v>
      </c>
      <c r="F92" s="31"/>
      <c r="G92" s="31">
        <v>10000</v>
      </c>
      <c r="H92" s="68"/>
      <c r="I92" s="31">
        <v>3981.4539</v>
      </c>
      <c r="J92" s="31"/>
      <c r="K92" s="31">
        <f>4624.70588+I92</f>
        <v>8606.15978</v>
      </c>
      <c r="L92" s="31"/>
      <c r="M92" s="84" t="s">
        <v>154</v>
      </c>
    </row>
    <row r="93" spans="1:13" s="6" customFormat="1" ht="40.5" customHeight="1" thickBot="1">
      <c r="A93" s="44"/>
      <c r="B93" s="45"/>
      <c r="C93" s="45"/>
      <c r="D93" s="46"/>
      <c r="E93" s="47"/>
      <c r="F93" s="38" t="s">
        <v>28</v>
      </c>
      <c r="G93" s="38">
        <f t="shared" ref="G93:L93" si="6">G86+G83+G76+G63+G54+G36+G7</f>
        <v>1301050</v>
      </c>
      <c r="H93" s="38">
        <f t="shared" si="6"/>
        <v>92700</v>
      </c>
      <c r="I93" s="38">
        <f t="shared" si="6"/>
        <v>307640.23632999999</v>
      </c>
      <c r="J93" s="38">
        <f t="shared" si="6"/>
        <v>77761.971410000013</v>
      </c>
      <c r="K93" s="38">
        <f t="shared" si="6"/>
        <v>4312044.569255</v>
      </c>
      <c r="L93" s="38">
        <f t="shared" si="6"/>
        <v>552683.17839140003</v>
      </c>
      <c r="M93" s="81"/>
    </row>
    <row r="94" spans="1:13" ht="13.5" customHeight="1">
      <c r="A94" s="10"/>
      <c r="B94" s="8"/>
      <c r="C94" s="8"/>
      <c r="D94" s="10"/>
      <c r="E94" s="10"/>
      <c r="F94" s="10"/>
      <c r="G94" s="10"/>
      <c r="H94" s="10"/>
      <c r="I94" s="10"/>
      <c r="J94" s="10"/>
      <c r="K94" s="10"/>
      <c r="L94" s="10"/>
    </row>
    <row r="95" spans="1:13" ht="24.75" customHeight="1">
      <c r="A95" s="214" t="s">
        <v>32</v>
      </c>
      <c r="B95" s="214"/>
      <c r="C95" s="214"/>
      <c r="D95" s="214"/>
      <c r="E95" s="214"/>
      <c r="F95" s="214"/>
      <c r="G95" s="214"/>
      <c r="H95" s="214"/>
      <c r="I95" s="214"/>
      <c r="J95" s="214"/>
      <c r="K95" s="214"/>
      <c r="L95" s="214"/>
    </row>
    <row r="96" spans="1:13" ht="24" customHeight="1">
      <c r="A96" s="1" t="s">
        <v>36</v>
      </c>
      <c r="B96" s="2"/>
      <c r="D96" s="1"/>
      <c r="E96" s="1"/>
      <c r="F96" s="1"/>
      <c r="H96" s="1"/>
      <c r="I96" s="1"/>
      <c r="J96" s="1"/>
      <c r="K96" s="1"/>
      <c r="L96" s="1"/>
    </row>
    <row r="97" spans="1:12">
      <c r="A97" s="1"/>
      <c r="B97" s="2"/>
      <c r="D97" s="1"/>
      <c r="E97" s="1"/>
      <c r="F97" s="1"/>
      <c r="H97" s="1"/>
      <c r="I97" s="1"/>
      <c r="J97" s="1"/>
      <c r="K97" s="1"/>
      <c r="L97" s="1"/>
    </row>
    <row r="98" spans="1:12" ht="39" customHeight="1">
      <c r="G98" s="11">
        <f>G93-'[1]For Website'!$G$95</f>
        <v>0</v>
      </c>
      <c r="H98" s="12">
        <f>H93-'[1]For Website'!$H$95</f>
        <v>0</v>
      </c>
      <c r="I98" s="12">
        <f>I93-'[2]WEB-2019'!$I$93</f>
        <v>0</v>
      </c>
      <c r="J98" s="12">
        <f>J93-'[2]WEB-2019'!$J$93</f>
        <v>0</v>
      </c>
      <c r="K98" s="12">
        <f>K93-'[2]WEB-2019'!$K$93</f>
        <v>0</v>
      </c>
      <c r="L98" s="12">
        <f>L93-'[2]WEB-2019'!$L$93</f>
        <v>0</v>
      </c>
    </row>
    <row r="99" spans="1:12" ht="21.75" customHeight="1">
      <c r="G99" s="11"/>
      <c r="H99" s="12"/>
      <c r="I99" s="12"/>
      <c r="J99" s="12"/>
      <c r="K99" s="12"/>
      <c r="L99" s="12"/>
    </row>
  </sheetData>
  <mergeCells count="140">
    <mergeCell ref="B21:B23"/>
    <mergeCell ref="C21:C23"/>
    <mergeCell ref="D21:D23"/>
    <mergeCell ref="E21:E23"/>
    <mergeCell ref="M18:M19"/>
    <mergeCell ref="L8:L9"/>
    <mergeCell ref="L12:L13"/>
    <mergeCell ref="L10:L11"/>
    <mergeCell ref="H8:H9"/>
    <mergeCell ref="J12:J13"/>
    <mergeCell ref="I8:I9"/>
    <mergeCell ref="M14:M15"/>
    <mergeCell ref="L14:L15"/>
    <mergeCell ref="K14:K15"/>
    <mergeCell ref="F14:F15"/>
    <mergeCell ref="H14:H15"/>
    <mergeCell ref="J14:J15"/>
    <mergeCell ref="H18:H19"/>
    <mergeCell ref="I18:I19"/>
    <mergeCell ref="J18:J19"/>
    <mergeCell ref="K18:K19"/>
    <mergeCell ref="L18:L19"/>
    <mergeCell ref="K8:K9"/>
    <mergeCell ref="K12:K13"/>
    <mergeCell ref="B12:B13"/>
    <mergeCell ref="C8:C9"/>
    <mergeCell ref="C12:C13"/>
    <mergeCell ref="J10:J11"/>
    <mergeCell ref="I10:I11"/>
    <mergeCell ref="F8:F9"/>
    <mergeCell ref="K10:K11"/>
    <mergeCell ref="J8:J9"/>
    <mergeCell ref="H12:H13"/>
    <mergeCell ref="H10:H11"/>
    <mergeCell ref="A80:A81"/>
    <mergeCell ref="B80:B81"/>
    <mergeCell ref="C80:C81"/>
    <mergeCell ref="D80:D81"/>
    <mergeCell ref="E80:E81"/>
    <mergeCell ref="F80:F81"/>
    <mergeCell ref="A95:L95"/>
    <mergeCell ref="F40:F41"/>
    <mergeCell ref="A83:F83"/>
    <mergeCell ref="A86:F86"/>
    <mergeCell ref="J40:J41"/>
    <mergeCell ref="K40:K41"/>
    <mergeCell ref="A54:F54"/>
    <mergeCell ref="A63:F63"/>
    <mergeCell ref="A76:F76"/>
    <mergeCell ref="A40:A41"/>
    <mergeCell ref="B40:B41"/>
    <mergeCell ref="A43:A44"/>
    <mergeCell ref="B43:B44"/>
    <mergeCell ref="C43:C44"/>
    <mergeCell ref="G43:G44"/>
    <mergeCell ref="H43:H44"/>
    <mergeCell ref="I43:I44"/>
    <mergeCell ref="K77:K79"/>
    <mergeCell ref="A8:A9"/>
    <mergeCell ref="A29:A30"/>
    <mergeCell ref="G4:H4"/>
    <mergeCell ref="G5:H5"/>
    <mergeCell ref="C4:C5"/>
    <mergeCell ref="D4:F4"/>
    <mergeCell ref="A12:A13"/>
    <mergeCell ref="A4:A5"/>
    <mergeCell ref="B4:B5"/>
    <mergeCell ref="D5:F5"/>
    <mergeCell ref="A7:F7"/>
    <mergeCell ref="G10:G11"/>
    <mergeCell ref="G8:G9"/>
    <mergeCell ref="B10:B11"/>
    <mergeCell ref="C10:C11"/>
    <mergeCell ref="G12:G13"/>
    <mergeCell ref="C29:C30"/>
    <mergeCell ref="F12:F13"/>
    <mergeCell ref="B8:B9"/>
    <mergeCell ref="G14:G15"/>
    <mergeCell ref="B14:B15"/>
    <mergeCell ref="C14:C15"/>
    <mergeCell ref="A18:A19"/>
    <mergeCell ref="G18:G19"/>
    <mergeCell ref="M4:M5"/>
    <mergeCell ref="M8:M9"/>
    <mergeCell ref="M12:M13"/>
    <mergeCell ref="M29:M30"/>
    <mergeCell ref="M40:M41"/>
    <mergeCell ref="M10:M11"/>
    <mergeCell ref="M56:M57"/>
    <mergeCell ref="J56:J57"/>
    <mergeCell ref="G56:G57"/>
    <mergeCell ref="I56:I57"/>
    <mergeCell ref="K56:K57"/>
    <mergeCell ref="L56:L57"/>
    <mergeCell ref="I5:J5"/>
    <mergeCell ref="K5:L5"/>
    <mergeCell ref="K4:L4"/>
    <mergeCell ref="I4:J4"/>
    <mergeCell ref="L40:L41"/>
    <mergeCell ref="M43:M44"/>
    <mergeCell ref="J43:J44"/>
    <mergeCell ref="K43:K44"/>
    <mergeCell ref="L43:L44"/>
    <mergeCell ref="I40:I41"/>
    <mergeCell ref="G40:G41"/>
    <mergeCell ref="H40:H41"/>
    <mergeCell ref="L77:L79"/>
    <mergeCell ref="M77:M79"/>
    <mergeCell ref="A77:A79"/>
    <mergeCell ref="G77:G79"/>
    <mergeCell ref="H77:H79"/>
    <mergeCell ref="I77:I79"/>
    <mergeCell ref="J77:J79"/>
    <mergeCell ref="B69:B70"/>
    <mergeCell ref="C69:C70"/>
    <mergeCell ref="E69:E70"/>
    <mergeCell ref="M65:M66"/>
    <mergeCell ref="A10:A11"/>
    <mergeCell ref="A56:A57"/>
    <mergeCell ref="B56:B57"/>
    <mergeCell ref="C56:C57"/>
    <mergeCell ref="F56:F57"/>
    <mergeCell ref="H56:H57"/>
    <mergeCell ref="C40:C41"/>
    <mergeCell ref="A36:F36"/>
    <mergeCell ref="L29:L30"/>
    <mergeCell ref="I12:I13"/>
    <mergeCell ref="K29:K30"/>
    <mergeCell ref="J29:J30"/>
    <mergeCell ref="B65:B67"/>
    <mergeCell ref="C65:C67"/>
    <mergeCell ref="D65:D67"/>
    <mergeCell ref="E65:E67"/>
    <mergeCell ref="A14:A15"/>
    <mergeCell ref="B29:B30"/>
    <mergeCell ref="F29:F30"/>
    <mergeCell ref="G29:G30"/>
    <mergeCell ref="H29:H30"/>
    <mergeCell ref="I29:I30"/>
    <mergeCell ref="I14:I15"/>
  </mergeCells>
  <printOptions horizontalCentered="1"/>
  <pageMargins left="0" right="0" top="0.19685039370078741" bottom="0.23622047244094491" header="0" footer="0"/>
  <pageSetup paperSize="9" scale="37" fitToHeight="0" orientation="landscape" r:id="rId1"/>
  <headerFooter alignWithMargins="0"/>
  <rowBreaks count="2" manualBreakCount="2">
    <brk id="75" max="12" man="1"/>
    <brk id="85"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 Website_ENG</vt:lpstr>
      <vt:lpstr>'For Website_ENG'!Print_Area</vt:lpstr>
      <vt:lpstr>'For Website_ENG'!Print_Titles</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dc:creator>
  <cp:lastModifiedBy>Anna Rusieshvili</cp:lastModifiedBy>
  <cp:lastPrinted>2019-06-27T11:00:07Z</cp:lastPrinted>
  <dcterms:created xsi:type="dcterms:W3CDTF">2011-04-14T08:42:21Z</dcterms:created>
  <dcterms:modified xsi:type="dcterms:W3CDTF">2019-08-26T11:09:25Z</dcterms:modified>
</cp:coreProperties>
</file>