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na.rusieshvili\Desktop\WEB info\WEB 2019\July\"/>
    </mc:Choice>
  </mc:AlternateContent>
  <bookViews>
    <workbookView xWindow="11130" yWindow="2520" windowWidth="11190" windowHeight="9660" tabRatio="200"/>
  </bookViews>
  <sheets>
    <sheet name="WEB-2019" sheetId="12" r:id="rId1"/>
  </sheets>
  <definedNames>
    <definedName name="_xlnm.Print_Area" localSheetId="0">'WEB-2019'!$A$1:$N$96</definedName>
    <definedName name="_xlnm.Print_Titles" localSheetId="0">'WEB-2019'!$A:$A,'WEB-2019'!$4:$6</definedName>
  </definedNames>
  <calcPr calcId="162913"/>
</workbook>
</file>

<file path=xl/calcChain.xml><?xml version="1.0" encoding="utf-8"?>
<calcChain xmlns="http://schemas.openxmlformats.org/spreadsheetml/2006/main">
  <c r="I54" i="12" l="1"/>
  <c r="K12" i="12" l="1"/>
  <c r="K10" i="12"/>
  <c r="K14" i="12" l="1"/>
  <c r="J36" i="12" l="1"/>
  <c r="I36" i="12"/>
  <c r="K51" i="12"/>
  <c r="L63" i="12" l="1"/>
  <c r="J63" i="12"/>
  <c r="I63" i="12"/>
  <c r="H63" i="12"/>
  <c r="G63" i="12"/>
  <c r="J86" i="12" l="1"/>
  <c r="I86" i="12"/>
  <c r="H86" i="12"/>
  <c r="G86" i="12"/>
  <c r="J54" i="12" l="1"/>
  <c r="H54" i="12"/>
  <c r="G54" i="12"/>
  <c r="G36" i="12"/>
  <c r="L17" i="12" l="1"/>
  <c r="L37" i="12"/>
  <c r="K37" i="12"/>
  <c r="K38" i="12"/>
  <c r="L39" i="12"/>
  <c r="K39" i="12"/>
  <c r="K40" i="12"/>
  <c r="K42" i="12"/>
  <c r="K43" i="12"/>
  <c r="K45" i="12"/>
  <c r="K46" i="12"/>
  <c r="L47" i="12"/>
  <c r="K47" i="12"/>
  <c r="K49" i="12"/>
  <c r="L62" i="12"/>
  <c r="L61" i="12"/>
  <c r="K61" i="12"/>
  <c r="K60" i="12"/>
  <c r="L60" i="12"/>
  <c r="L59" i="12"/>
  <c r="K59" i="12"/>
  <c r="K58" i="12"/>
  <c r="K56" i="12"/>
  <c r="L55" i="12"/>
  <c r="K55" i="12"/>
  <c r="L82" i="12"/>
  <c r="K81" i="12"/>
  <c r="K80" i="12"/>
  <c r="L77" i="12"/>
  <c r="K77" i="12"/>
  <c r="L85" i="12"/>
  <c r="L84" i="12"/>
  <c r="K90" i="12"/>
  <c r="K89" i="12"/>
  <c r="L87" i="12"/>
  <c r="L86" i="12" s="1"/>
  <c r="K33" i="12"/>
  <c r="K23" i="12"/>
  <c r="K70" i="12"/>
  <c r="K69" i="12"/>
  <c r="K66" i="12"/>
  <c r="K65" i="12"/>
  <c r="K64" i="12"/>
  <c r="K92" i="12"/>
  <c r="K86" i="12" s="1"/>
  <c r="K35" i="12"/>
  <c r="K34" i="12"/>
  <c r="K32" i="12"/>
  <c r="K31" i="12"/>
  <c r="K29" i="12"/>
  <c r="K21" i="12"/>
  <c r="K20" i="12"/>
  <c r="K18" i="12"/>
  <c r="K17" i="12"/>
  <c r="K16" i="12"/>
  <c r="K8" i="12"/>
  <c r="L36" i="12" l="1"/>
  <c r="K36" i="12"/>
  <c r="K63" i="12"/>
  <c r="K7" i="12"/>
  <c r="K54" i="12"/>
  <c r="L54" i="12"/>
  <c r="G7" i="12"/>
  <c r="H76" i="12" l="1"/>
  <c r="L76" i="12"/>
  <c r="K76" i="12"/>
  <c r="J76" i="12"/>
  <c r="I76" i="12"/>
  <c r="G76" i="12"/>
  <c r="H36" i="12" l="1"/>
  <c r="F59" i="12" l="1"/>
  <c r="E59" i="12"/>
  <c r="E40" i="12" l="1"/>
  <c r="E57" i="12" l="1"/>
  <c r="L7" i="12" l="1"/>
  <c r="J7" i="12"/>
  <c r="I7" i="12"/>
  <c r="H7" i="12"/>
  <c r="H83" i="12" l="1"/>
  <c r="H93" i="12" s="1"/>
  <c r="I83" i="12"/>
  <c r="I93" i="12" s="1"/>
  <c r="J83" i="12"/>
  <c r="J93" i="12" s="1"/>
  <c r="K83" i="12"/>
  <c r="G83" i="12"/>
  <c r="G93" i="12" s="1"/>
  <c r="K93" i="12" l="1"/>
  <c r="L83" i="12"/>
  <c r="L93" i="12" s="1"/>
  <c r="E56" i="12" l="1"/>
  <c r="E41" i="12"/>
  <c r="E65" i="12" l="1"/>
  <c r="F87" i="12"/>
</calcChain>
</file>

<file path=xl/sharedStrings.xml><?xml version="1.0" encoding="utf-8"?>
<sst xmlns="http://schemas.openxmlformats.org/spreadsheetml/2006/main" count="266" uniqueCount="187">
  <si>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</si>
  <si>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</si>
  <si>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 ნაწილი (კახეთი)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</si>
  <si>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</si>
  <si>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</si>
  <si>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</si>
  <si>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</si>
  <si>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</si>
  <si>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</si>
  <si>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</si>
  <si>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პროექტი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</si>
  <si>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</si>
  <si>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</si>
  <si>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</si>
  <si>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>MCA-საქართველო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</si>
  <si>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</si>
  <si>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</si>
  <si>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</si>
  <si>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</si>
  <si>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</si>
  <si>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</si>
  <si>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</si>
  <si>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</si>
  <si>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</si>
  <si>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</si>
  <si>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</si>
  <si>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</si>
  <si>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</si>
  <si>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</si>
  <si>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</si>
  <si>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</si>
  <si>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</si>
  <si>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</si>
  <si>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</si>
  <si>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</si>
  <si>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</si>
  <si>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</si>
  <si>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</si>
  <si>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</si>
  <si>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</si>
  <si>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</si>
  <si>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</si>
  <si>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</si>
  <si>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</si>
  <si>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</si>
  <si>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</si>
  <si>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</si>
  <si>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</si>
  <si>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</si>
  <si>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>ათასწლეულის გამოწვევა საქართველოს - მეორე კომპაქტი (MCC)</t>
  </si>
  <si>
    <t xml:space="preserve"> სულ ათვისებული თანხა (საკასო) **</t>
  </si>
  <si>
    <t>რეგიონალური და მუნიციპალური ინფრასტრუქტურის განვითარების პროექტი II (WB)</t>
  </si>
  <si>
    <t>სოფლის მეურნეობის მოდერნიზაციის, ბაზარზე წვდომისა და მდგრადობის პროექტი (GEF, IFAD)</t>
  </si>
  <si>
    <t>ზემო სამგორის სარწყავი სისტემის რეაბილიტაცია (ORIO)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</si>
  <si>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</si>
  <si>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</si>
  <si>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</si>
  <si>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</si>
  <si>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</si>
  <si>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</si>
  <si>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</si>
  <si>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</si>
  <si>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</si>
  <si>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</si>
  <si>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</si>
  <si>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</si>
  <si>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</si>
  <si>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</si>
  <si>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</si>
  <si>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</si>
  <si>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</si>
  <si>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</si>
  <si>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</si>
  <si>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</si>
  <si>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</si>
  <si>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ჩრდილოეთის რგოლი ეგხ (I ფაზა) (EBRD, KfW)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</si>
  <si>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</si>
  <si>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</si>
  <si>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</si>
  <si>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</si>
  <si>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</si>
  <si>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(დაგეგმილი)</t>
  </si>
  <si>
    <t>საქართველოში მყარი ნარჩენების მართვის პროექტი (EBRD)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</si>
  <si>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(სამუშაოები მიმდინარეობს).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</si>
  <si>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</si>
  <si>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</si>
  <si>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</si>
  <si>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</si>
  <si>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</si>
  <si>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</si>
  <si>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ელექტროენერგიის სექტორის სტრატეგიული გარემოსდაცვითი ზემოქმედების შეფასება (მიმდინარებს)</t>
  </si>
  <si>
    <t>საქართველოს შეიარაღებული ძალების შესაძლებლობების გაძლიერება (მიმდინარეობს)</t>
  </si>
  <si>
    <r>
      <t>ხელშეკრულების ხელმოწერის თარიღი</t>
    </r>
    <r>
      <rPr>
        <b/>
        <sz val="14"/>
        <color theme="1"/>
        <rFont val="Calibri"/>
        <family val="2"/>
      </rPr>
      <t>*</t>
    </r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</si>
  <si>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</si>
  <si>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02.04.2019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</si>
  <si>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</si>
  <si>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</si>
  <si>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</si>
  <si>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</si>
  <si>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თბილისი-სენაკი-ლესელიძის საავტომობილო გზის უბისა ძირულას მონაკვეთის რეკონსტრუქცია-მშენებლობა (EIB)</t>
  </si>
  <si>
    <t>თბილისი-სენაკი-ლესელიძის საავტომობილო გზის ძირულა არგვეთას მონაკვეთის რეკონსტრუქცია-მშენებლობა (JICA)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</si>
  <si>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</si>
  <si>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</si>
  <si>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</si>
  <si>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(ADB)</t>
  </si>
  <si>
    <t>მდინარე რიონზე ფოთის ხიდის მშენებლობა (EIB)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</si>
  <si>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(EIB)</t>
  </si>
  <si>
    <t>ქუთაისის წყალარინების პროექტი (EIB, EPTATF)</t>
  </si>
  <si>
    <t>04,12,2017</t>
  </si>
  <si>
    <t>31,12,2023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</si>
  <si>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(დაგეგმილი)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</si>
  <si>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</si>
  <si>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</si>
  <si>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</si>
  <si>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2019 წლის ბიუჯეტით დამტკიცებული თანხა</t>
  </si>
  <si>
    <t>2019 წლის განმავლობაში ათვისებული თანხა (საკასო) **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</si>
  <si>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</si>
  <si>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</si>
  <si>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</si>
  <si>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</si>
  <si>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</si>
  <si>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თბილისის ავტობუსების პროექტი (ფაზა II)
 (EBRD)</t>
  </si>
  <si>
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დარჩენილ 5კმ-ზე მოძრაობა გაიხსნება მას შემდეგ, რაც დასრულდება მონაკვეთის - ზემო ოსიაური-ჩუმათელეთის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</t>
  </si>
  <si>
    <t>ქობულეთის ახალი შემოვლითი გზის მშენებლობა (დაახლოებით 32 კმ სიგრძე) (პირველი მონაკვეთი (12.4 კმ + 1.3 კმ) გახსნილია, სამშენებლო სამუშაოები დასრულდა მეორე მონაკვეთზე (18 კმ), მოძრაობა გახსნილია).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</si>
  <si>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</t>
  </si>
  <si>
    <t xml:space="preserve"> - ზესტაფონი - ქუთაისის ახალი შემოვლითი გზის მშენებლობა (15.2 კმ) (დასრულდა; 14 კმ. გზის მონაკვეთი გახსნილია მოძრაობისთვის);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</si>
  <si>
    <t>ალგეთი-სადახლოს საავტომობილო გზის მშენებლობა-მოდერნიზაცია   (დაგეგმილი).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</si>
  <si>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</si>
  <si>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</si>
  <si>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</si>
  <si>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</si>
  <si>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</si>
  <si>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თელავში, ყვარელში და ახმეტაში ინფრასტრუქტურის რეაბილიტაცია (მუნიციპალური და კომუნალური ინფრასტრუქტურა, ისტორიული უბნების რეაბილიტაცია) (ძირითადი სამუშაოები დასრულებულია);
 - კახეთის მასშტაბით კულტურული მემკვიდრეობის ძეგლების კეთილმოწყობა (ძირითადი სამუშაოები დასრულებულია);
 - კერძო სექტორის ხელშეწყობა ტურიზმის და სოფლის მეურნეობის სექტორში (დასრულდა).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</si>
  <si>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</si>
  <si>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</si>
  <si>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</si>
  <si>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>ნაგავმზიდი მანქანებისა და მყარი ნარჩენების კონტეინერების შეძენა (მიმდინარეობს,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</si>
  <si>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</si>
  <si>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</si>
  <si>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</si>
  <si>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</si>
  <si>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</si>
  <si>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</si>
  <si>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</si>
  <si>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</si>
  <si>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</si>
  <si>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
  -   ენგურის ჰიდროელექტროსადგურის რეაბილიტაციის დასრულების ხელშეწყობა, მათ შორის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
 -  კლიმატური პიროპებისადმი მდგრადობის გაუმჯობესების უზრუნველყოფა.</t>
  </si>
  <si>
    <t xml:space="preserve"> - ახალი 500/220 კვ ქვესადგურის მშენებლობა ჯვარში (მიმდინარეობს);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(მიმდინარეობს).</t>
  </si>
  <si>
    <t>250 მგვარ სიმძლავრის რეგულირებადი რეაქტორის მშენებლობა - ,,ქ/ს ზესტაფონი 500-ში“ (დაგეგმილი).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</si>
  <si>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</si>
  <si>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</si>
  <si>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</si>
  <si>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</si>
  <si>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>ზემო სამგორის ირიგაციისა და დრენაჟის სისტემის რეაბილიტაცია. პროექტის მოსამზადებელი ეტაპი (პროექტის მომზადებისთვის საჭირო კვლევებისა და ტექნიკური, სოციალური, გარემოსდაცვითი და ინსტიტუციონალური ასპექტების ანალიზი მომზადდა. მიმდინარეობს პროექტის განვითარების ფაზის დახურვის პროცედურები).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</si>
  <si>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</si>
  <si>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  - ყაზბეგის ეროვნული პარკის შექმნა;
 - კინტრიშის დაცული ტერიტორის შექმნა;
 - ალგეთის ეროვნული პარკის შექმნა;
 - ფშავ-ხევსურეთის დაცული ტერიტორიის შექმნა.
(მიმდინარეობს ტურიზმის სტრატეგიების, სამოქმედო და საინვესტიციო გეგმების შემუშავება; დაიწყო მენეჯმენტის გეგმის შემუშავება ალგეთის ეროვნული პარკისათვის; გამოცხადდა ტენდერი ფშავ-ხევსურეთის დაცული ტერიტორიების დემარკაციაზე; დაიწყო ალგეთის ეროვნული პარკის ადმინისტრაციის და ვიზიტორთა შენობის მშენებლობა; დაიწყო ყაზბეგის ეროვნული პარკის ადმინისტრაციის და ვიზიტორთა შენობის მშენებლობა; მიმდინარეობს პრომეთეს მღვიმის საგამოფენო დარბაზის მოწყობა; მიმდინარეობს დუშეთის მუნიციპალიტეტში დაცული ლანდშაფტის შექმნისათვის კანონპროექტის შემუშავება)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</si>
  <si>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</si>
  <si>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>30.09.2021</t>
  </si>
  <si>
    <t>დაგეგმილი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</si>
  <si>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</t>
    </r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</si>
  <si>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</si>
  <si>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</si>
  <si>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 xml:space="preserve">საქართველოს სხვადასხვა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მიმდინარეობს დამატებით 12 გზის (მთლიანობაში დაახლოებით 80 კმ) რეაბილიტაცია).   </t>
  </si>
  <si>
    <t>28.02.2020</t>
  </si>
  <si>
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მიმდინარეობს საკითხის განხილვა დონორთან სამუშაოების გაგრძელების თაობაზე);
 - საავტომობილო გზების დეპარტამენტის ინსტიტუციონალური განვითარება (დაგეგმილი);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(დაგეგმილი).</t>
  </si>
  <si>
    <t xml:space="preserve">  - სამტრედია - გრიგოლეთის მონაკვეთზე (დაახლოებით 52 კმ) ახალი ოთხზოლიანი ავტომაგისტრალის მშენებლობა (სამშენებლო სამუშაოები მიმდინარეობს I, II და IV ლოტის ფარგლებში; ლოტი III -  ხელშეკრულება შეწყდა, მიმდინარეობს მოლაპარაკება დონორთან ტენდერის ხელახლა გამოცხადების თაობაზე);
 - ფოთი-გრიგოლეთის მონაკვეთი (დეტალური პროექტის მომზადების სამუშაოები დასრულდა).</t>
  </si>
  <si>
    <t>საჯარო შენობებში  ენერგოეფექტურობის  ღონისძიებების განხორციელება (ადმინისტრაციულ და საგანმანათლებლო შენობებში განახლებადი და ალტერნატიული ენერგიის წყაროების დანერგვა)  (მიმდინარეობს მოსამზადებელი სამუშაოები).</t>
  </si>
  <si>
    <t xml:space="preserve">ზუგდიდში (არსებული ნაგავსაყრელის ბაზაზე) და გურჯანში (სოფელ მელაანში) რეგიონული მუნიციპალური ნაგავსაყრელის მოწყობა  რომელიც მოემსახურება  სამეგრელო-ზემო სვანეთის და კახეთის რეგიონებს (მიმდინარეობს მოსამზადებელი სამუშაოები). </t>
  </si>
  <si>
    <t xml:space="preserve"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 </t>
  </si>
  <si>
    <t>30.04.2021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</si>
  <si>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   (მიმდინარეობს სატენდერო პროცედურები რუსთავი-წითელი ხიდის (ლოტი 1 და ლოტი 2) მონაკვეთის სამშენებლო სამუშაოებზე ზედამხედველის შესარჩევად).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</si>
  <si>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მხარდაჭერა;
 - ინდივიდუალური პირებისა და ფირმების ინოვაციური შესაძლებლობების განვითარება.</t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</si>
  <si>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 (მიმდინარეობს დეტალური პროექტირების სამუშაოები).</t>
  </si>
  <si>
    <r>
      <rPr>
        <b/>
        <sz val="10"/>
        <rFont val="Franklin Gothic Book"/>
        <family val="2"/>
        <scheme val="minor"/>
      </rPr>
      <t xml:space="preserve">
</t>
    </r>
    <r>
      <rPr>
        <b/>
        <sz val="11"/>
        <rFont val="Franklin Gothic Book"/>
        <family val="2"/>
        <scheme val="minor"/>
      </rPr>
      <t>საქართველოს რეგიონებში საჯარო სკოლების რემონტი/რეაბილიტაცია</t>
    </r>
    <r>
      <rPr>
        <sz val="11"/>
        <rFont val="Franklin Gothic Book"/>
        <family val="2"/>
        <scheme val="minor"/>
      </rPr>
      <t xml:space="preserve">
- 91  საჯარო სკოლის სრული რეაბილიტაცია და 91</t>
    </r>
    <r>
      <rPr>
        <sz val="11"/>
        <color rgb="FFFF0000"/>
        <rFont val="Franklin Gothic Book"/>
        <family val="2"/>
        <scheme val="minor"/>
      </rPr>
      <t xml:space="preserve"> </t>
    </r>
    <r>
      <rPr>
        <sz val="11"/>
        <rFont val="Franklin Gothic Book"/>
        <family val="2"/>
        <scheme val="minor"/>
      </rPr>
      <t xml:space="preserve"> საჯარო სკოლის საბუნებისმეტყველო ლაბორატორიებით აღჭურვა შიდა და ქვემო ქართლის, სამცხე-ჯავახეთის, რაჭა-ლეჩხუმისა და ქვემო სვანეთის, კახეთის, იმერეთის, გურიის რეგიონებში და აჭარის ა/რ. (დასრულდა);</t>
    </r>
    <r>
      <rPr>
        <b/>
        <sz val="11"/>
        <rFont val="Franklin Gothic Book"/>
        <family val="2"/>
        <scheme val="minor"/>
      </rPr>
      <t xml:space="preserve">
მასწავლებელთა კვალიფიკაციის ამაღლება</t>
    </r>
    <r>
      <rPr>
        <sz val="11"/>
        <rFont val="Franklin Gothic Book"/>
        <family val="2"/>
        <scheme val="minor"/>
      </rPr>
      <t xml:space="preserve">
- ზოგადპროფესიული კურსის ფარგლებში მონაწილეობა მიიღო ჯამში 17 656  მასწავლებელმა, მათ შორის, 1 861 არაქართულენოვანი სკოლებიდან. ზოგადპროფესიული კურსის სამივე მოდული წარმატებით დაასრულა 12 339 (მათ შორის, 1 104 არაქართულენოვანი) მასწავლებელმა.
- საგნობრივი მეთოდიკის კურსის (ფიზიკა, მათემატიკა, ბიოლოგია, ქიმია, ინგლისური და ინფორმაციული ტექნოლოგიები) ფარგლებში ტრენინგი წარმატებით გაიარა 14 859 (მათ შორის, 1  229 არაქართულენოვანი) მასწავლებელმა.</t>
    </r>
    <r>
      <rPr>
        <b/>
        <sz val="11"/>
        <rFont val="Franklin Gothic Book"/>
        <family val="2"/>
        <scheme val="minor"/>
      </rPr>
      <t xml:space="preserve">
სკოლის დირექტორთა კვალიფიკაციის ამაღლება</t>
    </r>
    <r>
      <rPr>
        <sz val="11"/>
        <rFont val="Franklin Gothic Book"/>
        <family val="2"/>
        <scheme val="minor"/>
      </rPr>
      <t xml:space="preserve">
-  ლიდერობის აკადემია 1   წარმატებით დაასრულა 1 820  (მათ შორის, 167 არაქართულენოვანმა) დირექტორმა.
-  ლიდერობის აკადემია 2   წარმატებით დაასრულა 1  621 -მა დირექტორმა, მათ შორის, 182 არაქართულენოვანი სკოლებიდან.
-  ლიდერობის აკადემია 3 წარმატებით დაასრულა  1 718-მა  (მათ შორის, 152 არაქართულენოვანი) დირექტორმა.</t>
    </r>
    <r>
      <rPr>
        <b/>
        <sz val="11"/>
        <rFont val="Franklin Gothic Book"/>
        <family val="2"/>
        <scheme val="minor"/>
      </rPr>
      <t xml:space="preserve">
უმაღლესი და პროფესიული განათლება  </t>
    </r>
    <r>
      <rPr>
        <sz val="11"/>
        <rFont val="Franklin Gothic Book"/>
        <family val="2"/>
        <scheme val="minor"/>
      </rPr>
      <t xml:space="preserve">
-  პროფესიული განათლების პროექტის ფარგლებში შეიქმნა შრომის ბაზრის მოთხოვნების შესაბამისი  51  ახალი პროფესიული საგანმანათლებლო პროგრამები 10 პროფესიულ დაწესებულებაში; 
-  საქართველოს სამ პატრნიორ უნივერსიტეტში (თსუ, ისუ, სტუ) ერთიანი ეროვნული გამოცდების გავლით განხორციელდა სტუდენტების ოთხი ნაკადის მიღება სან დიეგოს სახელმწიფო უნივერსიტეტში,  77-მა პროფესორმა ამავე უნივერსიტეტში, კალიფორნიაში გაიარა  პროფესიული განვითარების/გადამზადების პროგრამა; პარტნიორ ქართულ სახელმწიფო უნივერსიტეტებში (თსუ, ისუ, სტუ) განხორციელდა 5000 კვ.მ სასწავლო სამეცნიერო ფართის რეაბილიტაცია და ლაბორატორიული აღჭურვა.</t>
    </r>
    <r>
      <rPr>
        <sz val="10"/>
        <rFont val="Franklin Gothic Book"/>
        <family val="2"/>
        <scheme val="minor"/>
      </rPr>
      <t xml:space="preserve">
  </t>
    </r>
    <r>
      <rPr>
        <sz val="11"/>
        <rFont val="Franklin Gothic Book"/>
        <family val="2"/>
        <scheme val="minor"/>
      </rPr>
      <t xml:space="preserve">
</t>
    </r>
    <r>
      <rPr>
        <b/>
        <sz val="12"/>
        <rFont val="Franklin Gothic Book"/>
        <family val="2"/>
        <scheme val="minor"/>
      </rPr>
      <t xml:space="preserve">
</t>
    </r>
    <r>
      <rPr>
        <sz val="12"/>
        <rFont val="Franklin Gothic Book"/>
        <family val="2"/>
        <scheme val="minor"/>
      </rPr>
      <t xml:space="preserve">
</t>
    </r>
  </si>
  <si>
    <t>2019 წლის 31 ივლიის  მდგომარეობით (ათას ერთეულში)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</si>
  <si>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 (გზის მონაკვეთი: გამოვლენილია ტენდერში გამარჯვებული კომპანია. ხელშეკრულების გაფორმება დაგეგმილია 2019 წლის 15 აგვისტოს; გვირაბის მონაკვეთი: აქცეპტის წერილი გაიცა 2019 წლის 22 ივლისს).</t>
  </si>
  <si>
    <r>
      <t xml:space="preserve"> 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</t>
    </r>
    <r>
      <rPr>
        <sz val="12"/>
        <color theme="1"/>
        <rFont val="Franklin Gothic Book"/>
        <family val="2"/>
        <scheme val="minor"/>
      </rPr>
      <t>დ (გამოვლენილია ტენდერში გამარჯვებული კომპანია; გაიცა შეტყობინება კონტრაქტის მინიჭების შესახებ). 
პროექტი განხორციელდება EIB-ის თანამონაწილეობით.</t>
    </r>
  </si>
  <si>
    <t xml:space="preserve">თბილისი-სენაკი-ლესელიძის საავტომობილო გზის ხევი უბისას მონაკვეთის რეკონსტრუქცია - მშენებლობა (მიმდინარეობს სამშენებლო სამუშაოები).  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</si>
  <si>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სამშენებლო სამუშაოები).</t>
  </si>
  <si>
    <t>თბილისი-სენაკი-ლესელიძის საავტომობილო გზის შორაპანი-არგვეთას მონაკვეთის რეკონსტრუქცია-მშენებლობა. (სამშენებლო სამუშაოებზე გამოცხადდა ტენდერი. სატენდერო წინადადებების წარმოდგენის ვადა გაგრძელდა 2019 წლის 22 აგვისტომდე).</t>
  </si>
  <si>
    <t xml:space="preserve"> გრიგოლეთი-ქობულეთის შემოვლითი გზის მონაკვეთის მშენებლობა (მიმდინარეობს სამშენებლო სამუშაოები).</t>
  </si>
  <si>
    <t>მდინარე რიონზე ფოთის ხიდის მშენებლობა (გამოცხადდა ტენდერი ფოთის ხიდისა და მისასვლელი გზების მშენებლობის ზედამხედველობაზე).</t>
  </si>
  <si>
    <t xml:space="preserve">   - გურიის რეგიონში შერჩეული შიდასახელმწიფოებრივი გზების მონაკვეთების რეაბილიტაცია, პერიოდული და მიმდინარე მოვლა შენახვა, ტექნიკური სამუშაოები (დაგეგმილი);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(სარეაბილიტაციო სამუშაოები დასრულდა ერთ მონაკვეთზე);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</si>
  <si>
    <r>
      <rPr>
        <sz val="11"/>
        <color theme="1"/>
        <rFont val="Franklin Gothic Book"/>
        <family val="2"/>
        <scheme val="minor"/>
      </rPr>
      <t xml:space="preserve">
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რეზერვუარების მშენებლობა და არსებული რეზერვუარის რეაბილიტაცია (მიმდინარეობს მშენებლობა); 
- მესტიის წყალარინების გამწმენდი ნაგებობის პროექტირება-მშენებლობა (მიმდინარეობს სატენდერო პროცედურები)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შენახვის პროცედურები);
- ქუთაისში წყალმომარაგების სისტემების (რეზერვუარები, სატუმბი სადგურები, წყლის გამანაწილებელი ქსელი) მშენებლობა- რეაბილიტაცია (მიმდინარეობს სამშენებლო სამუშაოები);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სამშენებლო სამუშაოები);
- ურეკში წყალმომარაგებისა და კანალიზაციის სისტემების მშენებლობა (მიმდინარეობს სამშენებლო სამუშაოები);
- ურეკში კანალიზაციის გამწმენდი ნაგებობის მშენებლობა (მიმდინარეობს შენახვის პროცედურები);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სამშენებლო სამუშაოები);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სამშენებლო სამუშაოები);
- მარნეულის წყალარინების გამწმენდი ნაგებობის პროექტირება-მშენებლობა (მიმდინარეობს სატენდერო პროცედურები);
- აბაშის მაგისტრალური ხაზის მშენებლობა (მიმდინარეობს სამშენებლო სამუშაოები);
- თელავის წყალმომარაგების სისტემის მშენებლობა (მიმდინარეობს სატენდერო პროცედურები);
- გუდაურის წყლისა და წყალარინების სისტემების მშენებლობა (მიმდინარეობს საპროექტო სამუშაოები); 
- გუდაურის წყალარინების გამწმენდი ნაგებობების მშენებლობა (მიმდინარეობს საპროექტო სამუშაოები).</t>
    </r>
    <r>
      <rPr>
        <sz val="12"/>
        <color theme="1"/>
        <rFont val="Franklin Gothic Book"/>
        <family val="2"/>
        <scheme val="minor"/>
      </rPr>
      <t xml:space="preserve">
</t>
    </r>
    <r>
      <rPr>
        <sz val="11"/>
        <color theme="1"/>
        <rFont val="Franklin Gothic Book"/>
        <family val="2"/>
        <scheme val="minor"/>
      </rPr>
      <t xml:space="preserve">
</t>
    </r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</si>
  <si>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(მიმდინარეობს სამშენებლო სამუშაოები).</t>
  </si>
  <si>
    <t>ბათუმი - ახალციხის არსებული ორზოლიანი გზის დაახლოებით 29 კმ-იან ხულო-გოდერძის მონაკვეთის რეაბილიტაცია - რეკონსტრუქცია  (მიმდინარეობს  მოსამზადებელი და სამობილიზაციო სამუშაოები).</t>
  </si>
  <si>
    <r>
      <rPr>
        <b/>
        <sz val="12"/>
        <color theme="1"/>
        <rFont val="Franklin Gothic Book"/>
        <family val="2"/>
        <scheme val="minor"/>
      </rPr>
      <t>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წარმოება/გადამუშავება/რეალიზაციის კუთხით ინვესტიციების ხელშეწყობ</t>
    </r>
    <r>
      <rPr>
        <sz val="12"/>
        <color theme="1"/>
        <rFont val="Franklin Gothic Book"/>
        <family val="2"/>
        <scheme val="minor"/>
      </rPr>
      <t xml:space="preserve">ა
 - მოეწყო 16 სადემონსტრაციო ნაკვეთი (ხეხილის,  ბოსტნეულის, კენკროვანი კულტურის, დაფნის,  კონსერვაციული სოფლის მეურნეობის ქარსაცავის და თაფლის) კახეთის, შიდა ქართლის,  სამეგრელოს, ყაზბეგის, რაჭის  რეგიონებში და  აჭარაში .  ჩატარდა 64 ტრეინინგი (თეორიული და პრაქტიკული) 2949 მონაწილესთვის. 
- გაცემულია 453 მცირე და დიდი გრანტი. (443  პირველადი წარმოებისათვის და 10 გადამამუშავებელი საწარმოსთვის); 
- მიმდინარეობს სატენდერო დოკუმენტაციის მომზადება ტირიფონის სარწყავი სისტემის გამანაწილებლის (გ-3 გამანაწილებლის შიდა ქსელის და გ-3-2-1) და მისი სხვა რიგის გამანაწილებელი არხების რეაბილიტაციისთვის (შიდა ქართლი, გორი);
-  მიმდინარეობს სამშენებლო სამუშაოები ქვემო ალაზანის გამანაწილებელი არხისა (გ-32 და გ-35)  და მისი სხვა რიგის გამანაწილებლების რეაბილიტაცია/მოდერნიზაციისთვის (კახეთი, გურჯაანი);
-  მიმდინარეობს სამშენებლო სამუშაოები სალთვისის სარწყავი სისტემის გამანაწილებლების (ალტერნეტიული და ძლევიჯვარის არხები) და შიდა ქსელის რეაბილიტაციისთვის (შიდა ქართლი, გორი, ქარელი);
- მიმდინარეობს დეტალური პროექტის მომზადება სალთვისის სარწყავი სისტემის გ-2 გამანაწილებელი არხისა და მისი სხვა რიგის გამანაწილებელი არხების რეაბილიტაციისთვის (შიდა ქართლი, გორი, ქარელი);
- გაფორმდა ხელშკრულება სამშენებლო კომპანიასთან იაკუბლოს წყალსაცავის რეაბილიტაციისთვის, სამუშაოები დაიწყება 2019 წლის სექტემბერში (ქვემო ქართლი, დმანისი);
- დასრულდა ხობის მუნიციპალიტეტის სოფელ ახალსოფელში გზის მშენებლობა;   მიმდინარეობს ქარელის მუნიციპალიტეტის სოფელ ბრეძაში გზისა და ხიდის მშენებლობა.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</si>
</sst>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7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1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b/>
      <sz val="11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4" fontId="5" fillId="0" borderId="25" xfId="1" quotePrefix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43" fontId="5" fillId="0" borderId="28" xfId="15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left" vertical="center" wrapText="1"/>
    </xf>
    <xf numFmtId="164" fontId="16" fillId="0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7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left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4" fontId="6" fillId="0" borderId="40" xfId="1" applyNumberFormat="1" applyFont="1" applyFill="1" applyBorder="1" applyAlignment="1">
      <alignment horizontal="center" vertical="center"/>
    </xf>
    <xf numFmtId="164" fontId="5" fillId="2" borderId="40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 wrapText="1"/>
    </xf>
    <xf numFmtId="49" fontId="6" fillId="0" borderId="41" xfId="1" applyNumberFormat="1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43" fontId="5" fillId="0" borderId="33" xfId="15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5" fontId="6" fillId="2" borderId="25" xfId="1" applyNumberFormat="1" applyFont="1" applyFill="1" applyBorder="1" applyAlignment="1">
      <alignment horizontal="center" vertical="center" wrapText="1"/>
    </xf>
    <xf numFmtId="164" fontId="6" fillId="2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0" fontId="6" fillId="2" borderId="24" xfId="4" applyFont="1" applyFill="1" applyBorder="1" applyAlignment="1">
      <alignment horizontal="left" vertical="center" wrapText="1"/>
    </xf>
    <xf numFmtId="0" fontId="6" fillId="2" borderId="24" xfId="1" applyFont="1" applyFill="1" applyBorder="1" applyAlignment="1">
      <alignment horizontal="left" vertical="center" wrapText="1"/>
    </xf>
    <xf numFmtId="0" fontId="5" fillId="2" borderId="24" xfId="1" applyFont="1" applyFill="1" applyBorder="1" applyAlignment="1">
      <alignment horizontal="left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42" xfId="1" quotePrefix="1" applyNumberFormat="1" applyFont="1" applyFill="1" applyBorder="1" applyAlignment="1">
      <alignment horizontal="center" vertical="center"/>
    </xf>
    <xf numFmtId="164" fontId="5" fillId="0" borderId="43" xfId="1" quotePrefix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5" fillId="2" borderId="16" xfId="1" applyNumberFormat="1" applyFont="1" applyFill="1" applyBorder="1" applyAlignment="1">
      <alignment horizontal="left" vertical="center" wrapText="1"/>
    </xf>
    <xf numFmtId="49" fontId="5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42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2" borderId="24" xfId="1" applyFont="1" applyFill="1" applyBorder="1" applyAlignment="1">
      <alignment horizontal="left" vertical="center" wrapText="1"/>
    </xf>
    <xf numFmtId="49" fontId="6" fillId="0" borderId="32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0" fontId="13" fillId="4" borderId="9" xfId="1" applyNumberFormat="1" applyFont="1" applyFill="1" applyBorder="1" applyAlignment="1">
      <alignment horizontal="center" vertical="center" wrapText="1"/>
    </xf>
    <xf numFmtId="0" fontId="13" fillId="4" borderId="6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textRotation="90" wrapText="1"/>
    </xf>
    <xf numFmtId="0" fontId="9" fillId="4" borderId="6" xfId="1" applyNumberFormat="1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left" vertical="center" wrapText="1"/>
    </xf>
    <xf numFmtId="49" fontId="5" fillId="0" borderId="30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49" fontId="5" fillId="0" borderId="38" xfId="1" applyNumberFormat="1" applyFont="1" applyFill="1" applyBorder="1" applyAlignment="1">
      <alignment horizontal="left" vertical="center" wrapText="1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02"/>
  <sheetViews>
    <sheetView tabSelected="1" view="pageBreakPreview" topLeftCell="A88" zoomScale="60" zoomScaleNormal="60" zoomScalePageLayoutView="20" workbookViewId="0">
      <selection activeCell="A82" sqref="A82"/>
    </sheetView>
  </sheetViews>
  <sheetFormatPr defaultColWidth="9.33203125" defaultRowHeight="16.5"/>
  <cols>
    <col min="1" max="1" width="52.88671875" style="14" customWidth="1"/>
    <col min="2" max="2" width="13.6640625" style="6" customWidth="1"/>
    <col min="3" max="3" width="13.6640625" style="3" customWidth="1"/>
    <col min="4" max="6" width="15.44140625" style="1" customWidth="1"/>
    <col min="7" max="7" width="22.88671875" style="5" customWidth="1"/>
    <col min="8" max="8" width="13.44140625" style="1" customWidth="1"/>
    <col min="9" max="9" width="16.21875" style="1" customWidth="1"/>
    <col min="10" max="10" width="13.77734375" style="1" customWidth="1"/>
    <col min="11" max="11" width="16.21875" style="5" customWidth="1"/>
    <col min="12" max="12" width="15.33203125" style="1" customWidth="1"/>
    <col min="13" max="13" width="28.77734375" style="5" hidden="1" customWidth="1"/>
    <col min="14" max="14" width="104.5546875" style="17" customWidth="1"/>
    <col min="15" max="15" width="9.33203125" style="1"/>
    <col min="16" max="16" width="19" style="1" customWidth="1"/>
    <col min="17" max="16384" width="9.33203125" style="1"/>
  </cols>
  <sheetData>
    <row r="1" spans="1:14" ht="6.75" customHeight="1">
      <c r="B1" s="16"/>
      <c r="C1" s="16"/>
      <c r="D1" s="14"/>
      <c r="E1" s="14"/>
      <c r="F1" s="14"/>
      <c r="H1" s="14"/>
      <c r="I1" s="14"/>
      <c r="J1" s="14"/>
      <c r="L1" s="14"/>
      <c r="M1" s="14"/>
    </row>
    <row r="2" spans="1:14" s="7" customFormat="1" ht="27" customHeight="1">
      <c r="A2" s="123" t="s">
        <v>43</v>
      </c>
      <c r="B2" s="22"/>
      <c r="C2" s="22"/>
      <c r="D2" s="21"/>
      <c r="E2" s="21"/>
      <c r="F2" s="21"/>
      <c r="G2" s="21"/>
      <c r="H2" s="9"/>
      <c r="I2" s="21"/>
      <c r="J2" s="21"/>
      <c r="K2" s="23"/>
      <c r="L2" s="21"/>
      <c r="M2" s="21"/>
      <c r="N2" s="114"/>
    </row>
    <row r="3" spans="1:14" ht="27" customHeight="1" thickBot="1">
      <c r="A3" s="124" t="s">
        <v>174</v>
      </c>
      <c r="B3" s="24"/>
      <c r="C3" s="24"/>
      <c r="D3" s="25"/>
      <c r="E3" s="25"/>
      <c r="F3" s="25"/>
      <c r="G3" s="25"/>
      <c r="H3" s="91"/>
      <c r="I3" s="25"/>
      <c r="J3" s="25"/>
      <c r="K3" s="25"/>
      <c r="L3" s="25"/>
      <c r="M3" s="25"/>
    </row>
    <row r="4" spans="1:14" s="7" customFormat="1" ht="75.599999999999994" customHeight="1">
      <c r="A4" s="258" t="s">
        <v>10</v>
      </c>
      <c r="B4" s="260" t="s">
        <v>92</v>
      </c>
      <c r="C4" s="260" t="s">
        <v>48</v>
      </c>
      <c r="D4" s="248" t="s">
        <v>38</v>
      </c>
      <c r="E4" s="248"/>
      <c r="F4" s="248"/>
      <c r="G4" s="262" t="s">
        <v>114</v>
      </c>
      <c r="H4" s="262"/>
      <c r="I4" s="248" t="s">
        <v>115</v>
      </c>
      <c r="J4" s="248"/>
      <c r="K4" s="248" t="s">
        <v>50</v>
      </c>
      <c r="L4" s="248"/>
      <c r="M4" s="267" t="s">
        <v>0</v>
      </c>
      <c r="N4" s="269" t="s">
        <v>37</v>
      </c>
    </row>
    <row r="5" spans="1:14" s="7" customFormat="1" ht="54" customHeight="1" thickBot="1">
      <c r="A5" s="259"/>
      <c r="B5" s="261"/>
      <c r="C5" s="261"/>
      <c r="D5" s="247" t="s">
        <v>34</v>
      </c>
      <c r="E5" s="247"/>
      <c r="F5" s="247"/>
      <c r="G5" s="263" t="s">
        <v>45</v>
      </c>
      <c r="H5" s="263"/>
      <c r="I5" s="247" t="s">
        <v>45</v>
      </c>
      <c r="J5" s="247"/>
      <c r="K5" s="247" t="s">
        <v>45</v>
      </c>
      <c r="L5" s="247"/>
      <c r="M5" s="268"/>
      <c r="N5" s="270"/>
    </row>
    <row r="6" spans="1:14" ht="30.75" customHeight="1" thickBot="1">
      <c r="A6" s="125"/>
      <c r="B6" s="26"/>
      <c r="C6" s="26"/>
      <c r="D6" s="27" t="s">
        <v>26</v>
      </c>
      <c r="E6" s="27" t="s">
        <v>20</v>
      </c>
      <c r="F6" s="27" t="s">
        <v>21</v>
      </c>
      <c r="G6" s="27" t="s">
        <v>20</v>
      </c>
      <c r="H6" s="92" t="s">
        <v>21</v>
      </c>
      <c r="I6" s="27" t="s">
        <v>20</v>
      </c>
      <c r="J6" s="28" t="s">
        <v>21</v>
      </c>
      <c r="K6" s="27" t="s">
        <v>20</v>
      </c>
      <c r="L6" s="27" t="s">
        <v>21</v>
      </c>
      <c r="M6" s="29"/>
      <c r="N6" s="115"/>
    </row>
    <row r="7" spans="1:14" s="8" customFormat="1" ht="36.75" customHeight="1" thickBot="1">
      <c r="A7" s="255" t="s">
        <v>13</v>
      </c>
      <c r="B7" s="256"/>
      <c r="C7" s="256"/>
      <c r="D7" s="256"/>
      <c r="E7" s="256"/>
      <c r="F7" s="257"/>
      <c r="G7" s="30">
        <f>SUM(G8:G35)</f>
        <v>680550</v>
      </c>
      <c r="H7" s="93">
        <f t="shared" ref="H7:L7" si="0">SUM(H8:H35)</f>
        <v>8050</v>
      </c>
      <c r="I7" s="30">
        <f t="shared" si="0"/>
        <v>109468.43166000002</v>
      </c>
      <c r="J7" s="30">
        <f t="shared" si="0"/>
        <v>2695.3515000000002</v>
      </c>
      <c r="K7" s="30">
        <f>SUM(K8:K35)</f>
        <v>2111967.34185</v>
      </c>
      <c r="L7" s="30">
        <f t="shared" si="0"/>
        <v>33691.200839999998</v>
      </c>
      <c r="M7" s="31"/>
      <c r="N7" s="116"/>
    </row>
    <row r="8" spans="1:14" ht="58.9" customHeight="1">
      <c r="A8" s="243" t="s">
        <v>35</v>
      </c>
      <c r="B8" s="266">
        <v>41431</v>
      </c>
      <c r="C8" s="244">
        <v>43524</v>
      </c>
      <c r="D8" s="66" t="s">
        <v>24</v>
      </c>
      <c r="E8" s="66">
        <v>24500</v>
      </c>
      <c r="F8" s="223"/>
      <c r="G8" s="223">
        <v>4000</v>
      </c>
      <c r="H8" s="229"/>
      <c r="I8" s="223">
        <v>6263.2766099999999</v>
      </c>
      <c r="J8" s="246"/>
      <c r="K8" s="223">
        <f>148859.28356+I8</f>
        <v>155122.56017000001</v>
      </c>
      <c r="L8" s="223"/>
      <c r="M8" s="242" t="s">
        <v>42</v>
      </c>
      <c r="N8" s="240" t="s">
        <v>122</v>
      </c>
    </row>
    <row r="9" spans="1:14" ht="73.5" customHeight="1">
      <c r="A9" s="238"/>
      <c r="B9" s="210"/>
      <c r="C9" s="245"/>
      <c r="D9" s="65" t="s">
        <v>25</v>
      </c>
      <c r="E9" s="65">
        <v>38000</v>
      </c>
      <c r="F9" s="213"/>
      <c r="G9" s="213"/>
      <c r="H9" s="230"/>
      <c r="I9" s="213"/>
      <c r="J9" s="212"/>
      <c r="K9" s="213"/>
      <c r="L9" s="213"/>
      <c r="M9" s="241"/>
      <c r="N9" s="216"/>
    </row>
    <row r="10" spans="1:14" s="10" customFormat="1" ht="69" customHeight="1">
      <c r="A10" s="238" t="s">
        <v>66</v>
      </c>
      <c r="B10" s="210">
        <v>42410</v>
      </c>
      <c r="C10" s="210">
        <v>44196</v>
      </c>
      <c r="D10" s="65" t="s">
        <v>25</v>
      </c>
      <c r="E10" s="65">
        <v>140000</v>
      </c>
      <c r="F10" s="65"/>
      <c r="G10" s="213">
        <v>55225</v>
      </c>
      <c r="H10" s="230"/>
      <c r="I10" s="213">
        <v>9485.2582700000003</v>
      </c>
      <c r="J10" s="212"/>
      <c r="K10" s="213">
        <f>102576.23686+I10</f>
        <v>112061.49513000001</v>
      </c>
      <c r="L10" s="213"/>
      <c r="M10" s="67"/>
      <c r="N10" s="215" t="s">
        <v>164</v>
      </c>
    </row>
    <row r="11" spans="1:14" s="10" customFormat="1" ht="125.25" customHeight="1">
      <c r="A11" s="238"/>
      <c r="B11" s="210"/>
      <c r="C11" s="210"/>
      <c r="D11" s="65" t="s">
        <v>31</v>
      </c>
      <c r="E11" s="65">
        <v>49450</v>
      </c>
      <c r="F11" s="65"/>
      <c r="G11" s="213"/>
      <c r="H11" s="230"/>
      <c r="I11" s="213"/>
      <c r="J11" s="212"/>
      <c r="K11" s="213"/>
      <c r="L11" s="213"/>
      <c r="M11" s="67"/>
      <c r="N11" s="216"/>
    </row>
    <row r="12" spans="1:14" ht="23.45" customHeight="1">
      <c r="A12" s="238" t="s">
        <v>29</v>
      </c>
      <c r="B12" s="210">
        <v>40115</v>
      </c>
      <c r="C12" s="210">
        <v>43737</v>
      </c>
      <c r="D12" s="65" t="s">
        <v>24</v>
      </c>
      <c r="E12" s="65">
        <v>75892</v>
      </c>
      <c r="F12" s="213"/>
      <c r="G12" s="213">
        <v>4000</v>
      </c>
      <c r="H12" s="230"/>
      <c r="I12" s="213">
        <v>10411.350060000001</v>
      </c>
      <c r="J12" s="213"/>
      <c r="K12" s="213">
        <f>372829.86217+I12</f>
        <v>383241.21223</v>
      </c>
      <c r="L12" s="213"/>
      <c r="M12" s="241" t="s">
        <v>42</v>
      </c>
      <c r="N12" s="215" t="s">
        <v>123</v>
      </c>
    </row>
    <row r="13" spans="1:14" ht="66" customHeight="1">
      <c r="A13" s="238"/>
      <c r="B13" s="210"/>
      <c r="C13" s="210"/>
      <c r="D13" s="65" t="s">
        <v>28</v>
      </c>
      <c r="E13" s="65">
        <v>140000</v>
      </c>
      <c r="F13" s="213"/>
      <c r="G13" s="213"/>
      <c r="H13" s="230"/>
      <c r="I13" s="213"/>
      <c r="J13" s="213"/>
      <c r="K13" s="213"/>
      <c r="L13" s="213"/>
      <c r="M13" s="241"/>
      <c r="N13" s="216"/>
    </row>
    <row r="14" spans="1:14" ht="51" customHeight="1">
      <c r="A14" s="249" t="s">
        <v>79</v>
      </c>
      <c r="B14" s="251">
        <v>42898</v>
      </c>
      <c r="C14" s="251">
        <v>45107</v>
      </c>
      <c r="D14" s="73" t="s">
        <v>31</v>
      </c>
      <c r="E14" s="73">
        <v>108190</v>
      </c>
      <c r="F14" s="224"/>
      <c r="G14" s="224">
        <v>56000</v>
      </c>
      <c r="H14" s="253"/>
      <c r="I14" s="253">
        <v>23451.428240000001</v>
      </c>
      <c r="J14" s="224"/>
      <c r="K14" s="224">
        <f>61088.39635+I14</f>
        <v>84539.824590000004</v>
      </c>
      <c r="L14" s="224"/>
      <c r="M14" s="67"/>
      <c r="N14" s="215" t="s">
        <v>124</v>
      </c>
    </row>
    <row r="15" spans="1:14" s="14" customFormat="1" ht="42.75" customHeight="1">
      <c r="A15" s="250"/>
      <c r="B15" s="252"/>
      <c r="C15" s="252"/>
      <c r="D15" s="73" t="s">
        <v>25</v>
      </c>
      <c r="E15" s="73">
        <v>114000</v>
      </c>
      <c r="F15" s="226"/>
      <c r="G15" s="226"/>
      <c r="H15" s="254"/>
      <c r="I15" s="254"/>
      <c r="J15" s="226"/>
      <c r="K15" s="226"/>
      <c r="L15" s="226"/>
      <c r="M15" s="75"/>
      <c r="N15" s="216"/>
    </row>
    <row r="16" spans="1:14" ht="142.5" customHeight="1">
      <c r="A16" s="126" t="s">
        <v>32</v>
      </c>
      <c r="B16" s="64">
        <v>40163</v>
      </c>
      <c r="C16" s="36">
        <v>45101</v>
      </c>
      <c r="D16" s="65" t="s">
        <v>30</v>
      </c>
      <c r="E16" s="65">
        <v>22132000</v>
      </c>
      <c r="F16" s="65"/>
      <c r="G16" s="86">
        <v>1600</v>
      </c>
      <c r="H16" s="73"/>
      <c r="I16" s="65">
        <v>794.46415999999999</v>
      </c>
      <c r="J16" s="65"/>
      <c r="K16" s="86">
        <f>395400.05161+I16</f>
        <v>396194.51577</v>
      </c>
      <c r="L16" s="65"/>
      <c r="M16" s="67" t="s">
        <v>42</v>
      </c>
      <c r="N16" s="71" t="s">
        <v>125</v>
      </c>
    </row>
    <row r="17" spans="1:14" ht="76.900000000000006" customHeight="1">
      <c r="A17" s="126" t="s">
        <v>57</v>
      </c>
      <c r="B17" s="64">
        <v>41040</v>
      </c>
      <c r="C17" s="64">
        <v>43797</v>
      </c>
      <c r="D17" s="65" t="s">
        <v>31</v>
      </c>
      <c r="E17" s="65">
        <v>200000</v>
      </c>
      <c r="F17" s="65">
        <v>20000</v>
      </c>
      <c r="G17" s="136">
        <v>52300</v>
      </c>
      <c r="H17" s="138">
        <v>8050</v>
      </c>
      <c r="I17" s="65">
        <v>19532.292000000001</v>
      </c>
      <c r="J17" s="65">
        <v>2695.3515000000002</v>
      </c>
      <c r="K17" s="86">
        <f>299698.79166+I17</f>
        <v>319231.08366</v>
      </c>
      <c r="L17" s="65">
        <f>30995.84934+J17</f>
        <v>33691.200839999998</v>
      </c>
      <c r="M17" s="67" t="s">
        <v>42</v>
      </c>
      <c r="N17" s="190" t="s">
        <v>165</v>
      </c>
    </row>
    <row r="18" spans="1:14" s="14" customFormat="1" ht="41.45" customHeight="1">
      <c r="A18" s="264" t="s">
        <v>111</v>
      </c>
      <c r="B18" s="107" t="s">
        <v>108</v>
      </c>
      <c r="C18" s="107" t="s">
        <v>109</v>
      </c>
      <c r="D18" s="106" t="s">
        <v>31</v>
      </c>
      <c r="E18" s="106">
        <v>16900</v>
      </c>
      <c r="F18" s="99"/>
      <c r="G18" s="224">
        <v>45600</v>
      </c>
      <c r="H18" s="253"/>
      <c r="I18" s="224"/>
      <c r="J18" s="224"/>
      <c r="K18" s="224">
        <f>125.74445+I18</f>
        <v>125.74445</v>
      </c>
      <c r="L18" s="224"/>
      <c r="M18" s="100"/>
      <c r="N18" s="215" t="s">
        <v>176</v>
      </c>
    </row>
    <row r="19" spans="1:14" s="14" customFormat="1" ht="61.5" customHeight="1">
      <c r="A19" s="265"/>
      <c r="B19" s="107"/>
      <c r="C19" s="107"/>
      <c r="D19" s="106"/>
      <c r="E19" s="106"/>
      <c r="F19" s="79"/>
      <c r="G19" s="226"/>
      <c r="H19" s="254"/>
      <c r="I19" s="226"/>
      <c r="J19" s="226"/>
      <c r="K19" s="226"/>
      <c r="L19" s="226"/>
      <c r="M19" s="90"/>
      <c r="N19" s="216"/>
    </row>
    <row r="20" spans="1:14" s="14" customFormat="1" ht="72" customHeight="1">
      <c r="A20" s="126" t="s">
        <v>98</v>
      </c>
      <c r="B20" s="80"/>
      <c r="C20" s="80"/>
      <c r="D20" s="79"/>
      <c r="E20" s="79"/>
      <c r="F20" s="79"/>
      <c r="G20" s="86">
        <v>63550</v>
      </c>
      <c r="H20" s="79"/>
      <c r="I20" s="171">
        <v>267.71526</v>
      </c>
      <c r="J20" s="79"/>
      <c r="K20" s="86">
        <f>113756.3746+I20</f>
        <v>114024.08985999999</v>
      </c>
      <c r="L20" s="79"/>
      <c r="M20" s="90"/>
      <c r="N20" s="196" t="s">
        <v>177</v>
      </c>
    </row>
    <row r="21" spans="1:14" s="14" customFormat="1" ht="70.5" customHeight="1">
      <c r="A21" s="126" t="s">
        <v>99</v>
      </c>
      <c r="B21" s="80"/>
      <c r="C21" s="80"/>
      <c r="D21" s="79"/>
      <c r="E21" s="79"/>
      <c r="F21" s="79"/>
      <c r="G21" s="86">
        <v>96850</v>
      </c>
      <c r="H21" s="185"/>
      <c r="I21" s="186">
        <v>121.14439</v>
      </c>
      <c r="J21" s="79"/>
      <c r="K21" s="86">
        <f>201682.00984+I21</f>
        <v>201803.15423000001</v>
      </c>
      <c r="L21" s="79"/>
      <c r="M21" s="90"/>
      <c r="N21" s="196" t="s">
        <v>178</v>
      </c>
    </row>
    <row r="22" spans="1:14" s="14" customFormat="1" ht="75.75" customHeight="1">
      <c r="A22" s="126" t="s">
        <v>100</v>
      </c>
      <c r="B22" s="80"/>
      <c r="C22" s="80"/>
      <c r="D22" s="79"/>
      <c r="E22" s="79"/>
      <c r="F22" s="79"/>
      <c r="G22" s="86">
        <v>48850</v>
      </c>
      <c r="H22" s="79"/>
      <c r="I22" s="79"/>
      <c r="J22" s="79"/>
      <c r="K22" s="86"/>
      <c r="L22" s="79"/>
      <c r="M22" s="90"/>
      <c r="N22" s="196" t="s">
        <v>179</v>
      </c>
    </row>
    <row r="23" spans="1:14" s="14" customFormat="1" ht="58.5" customHeight="1">
      <c r="A23" s="126" t="s">
        <v>101</v>
      </c>
      <c r="B23" s="80"/>
      <c r="C23" s="80"/>
      <c r="D23" s="79"/>
      <c r="E23" s="79"/>
      <c r="F23" s="79"/>
      <c r="G23" s="86">
        <v>48700</v>
      </c>
      <c r="H23" s="79"/>
      <c r="I23" s="195">
        <v>1334.6205399999999</v>
      </c>
      <c r="J23" s="79"/>
      <c r="K23" s="86">
        <f>20357.40381+I23</f>
        <v>21692.02435</v>
      </c>
      <c r="L23" s="79"/>
      <c r="M23" s="90"/>
      <c r="N23" s="196" t="s">
        <v>180</v>
      </c>
    </row>
    <row r="24" spans="1:14" s="14" customFormat="1" ht="84.75" customHeight="1">
      <c r="A24" s="126" t="s">
        <v>102</v>
      </c>
      <c r="B24" s="80"/>
      <c r="C24" s="80"/>
      <c r="D24" s="79"/>
      <c r="E24" s="79"/>
      <c r="F24" s="79"/>
      <c r="G24" s="86"/>
      <c r="H24" s="79"/>
      <c r="I24" s="79"/>
      <c r="J24" s="79"/>
      <c r="K24" s="86"/>
      <c r="L24" s="79"/>
      <c r="M24" s="90"/>
      <c r="N24" s="196" t="s">
        <v>170</v>
      </c>
    </row>
    <row r="25" spans="1:14" s="14" customFormat="1" ht="56.25" customHeight="1">
      <c r="A25" s="126" t="s">
        <v>103</v>
      </c>
      <c r="B25" s="80"/>
      <c r="C25" s="80"/>
      <c r="D25" s="79"/>
      <c r="E25" s="79"/>
      <c r="F25" s="79"/>
      <c r="G25" s="86"/>
      <c r="H25" s="79"/>
      <c r="I25" s="79"/>
      <c r="J25" s="79"/>
      <c r="K25" s="86"/>
      <c r="L25" s="79"/>
      <c r="M25" s="90"/>
      <c r="N25" s="109" t="s">
        <v>126</v>
      </c>
    </row>
    <row r="26" spans="1:14" s="14" customFormat="1" ht="69.75" customHeight="1">
      <c r="A26" s="126" t="s">
        <v>104</v>
      </c>
      <c r="B26" s="80"/>
      <c r="C26" s="80"/>
      <c r="D26" s="79"/>
      <c r="E26" s="79"/>
      <c r="F26" s="79"/>
      <c r="G26" s="86">
        <v>122275</v>
      </c>
      <c r="H26" s="79"/>
      <c r="I26" s="79"/>
      <c r="J26" s="79"/>
      <c r="K26" s="86"/>
      <c r="L26" s="79"/>
      <c r="M26" s="90"/>
      <c r="N26" s="196" t="s">
        <v>175</v>
      </c>
    </row>
    <row r="27" spans="1:14" s="14" customFormat="1" ht="70.5" customHeight="1">
      <c r="A27" s="126" t="s">
        <v>105</v>
      </c>
      <c r="B27" s="80"/>
      <c r="C27" s="80"/>
      <c r="D27" s="79"/>
      <c r="E27" s="79"/>
      <c r="F27" s="79"/>
      <c r="G27" s="86"/>
      <c r="H27" s="79"/>
      <c r="I27" s="79"/>
      <c r="J27" s="79"/>
      <c r="K27" s="86"/>
      <c r="L27" s="79"/>
      <c r="M27" s="90"/>
      <c r="N27" s="196" t="s">
        <v>181</v>
      </c>
    </row>
    <row r="28" spans="1:14" s="14" customFormat="1" ht="62.25" customHeight="1">
      <c r="A28" s="126" t="s">
        <v>106</v>
      </c>
      <c r="B28" s="80"/>
      <c r="C28" s="80"/>
      <c r="D28" s="79"/>
      <c r="E28" s="79"/>
      <c r="F28" s="79"/>
      <c r="G28" s="86"/>
      <c r="H28" s="79"/>
      <c r="I28" s="79"/>
      <c r="J28" s="79"/>
      <c r="K28" s="86"/>
      <c r="L28" s="79"/>
      <c r="M28" s="90"/>
      <c r="N28" s="109" t="s">
        <v>110</v>
      </c>
    </row>
    <row r="29" spans="1:14" s="4" customFormat="1" ht="45.75" customHeight="1">
      <c r="A29" s="238" t="s">
        <v>1</v>
      </c>
      <c r="B29" s="210">
        <v>40990</v>
      </c>
      <c r="C29" s="210">
        <v>43646</v>
      </c>
      <c r="D29" s="65" t="s">
        <v>24</v>
      </c>
      <c r="E29" s="65">
        <v>25800</v>
      </c>
      <c r="F29" s="213"/>
      <c r="G29" s="213">
        <v>2300</v>
      </c>
      <c r="H29" s="230"/>
      <c r="I29" s="213">
        <v>1025.68175</v>
      </c>
      <c r="J29" s="212"/>
      <c r="K29" s="213">
        <f>126586.68242+I29</f>
        <v>127612.36417</v>
      </c>
      <c r="L29" s="213"/>
      <c r="M29" s="241" t="s">
        <v>42</v>
      </c>
      <c r="N29" s="215" t="s">
        <v>127</v>
      </c>
    </row>
    <row r="30" spans="1:14" s="4" customFormat="1" ht="25.9" customHeight="1">
      <c r="A30" s="238"/>
      <c r="B30" s="210"/>
      <c r="C30" s="210"/>
      <c r="D30" s="65" t="s">
        <v>25</v>
      </c>
      <c r="E30" s="65">
        <v>30000</v>
      </c>
      <c r="F30" s="213"/>
      <c r="G30" s="213"/>
      <c r="H30" s="230"/>
      <c r="I30" s="213"/>
      <c r="J30" s="212"/>
      <c r="K30" s="213"/>
      <c r="L30" s="213"/>
      <c r="M30" s="241"/>
      <c r="N30" s="216"/>
    </row>
    <row r="31" spans="1:14" s="4" customFormat="1" ht="72.75" customHeight="1">
      <c r="A31" s="126" t="s">
        <v>46</v>
      </c>
      <c r="B31" s="64">
        <v>41829</v>
      </c>
      <c r="C31" s="64">
        <v>43373</v>
      </c>
      <c r="D31" s="65" t="s">
        <v>25</v>
      </c>
      <c r="E31" s="65">
        <v>75000</v>
      </c>
      <c r="F31" s="65"/>
      <c r="G31" s="86">
        <v>32000</v>
      </c>
      <c r="H31" s="73"/>
      <c r="I31" s="65">
        <v>23812.809089999999</v>
      </c>
      <c r="J31" s="65"/>
      <c r="K31" s="86">
        <f>111232.66285+I31</f>
        <v>135045.47193999999</v>
      </c>
      <c r="L31" s="65"/>
      <c r="M31" s="67" t="s">
        <v>42</v>
      </c>
      <c r="N31" s="183" t="s">
        <v>162</v>
      </c>
    </row>
    <row r="32" spans="1:14" s="4" customFormat="1" ht="143.25" customHeight="1">
      <c r="A32" s="105" t="s">
        <v>63</v>
      </c>
      <c r="B32" s="64">
        <v>42457</v>
      </c>
      <c r="C32" s="64">
        <v>44561</v>
      </c>
      <c r="D32" s="65" t="s">
        <v>25</v>
      </c>
      <c r="E32" s="65">
        <v>40000</v>
      </c>
      <c r="F32" s="65"/>
      <c r="G32" s="86">
        <v>20000</v>
      </c>
      <c r="H32" s="73"/>
      <c r="I32" s="65">
        <v>6067.3238199999996</v>
      </c>
      <c r="J32" s="65"/>
      <c r="K32" s="86">
        <f>31603.92074+I32</f>
        <v>37671.244559999999</v>
      </c>
      <c r="L32" s="65"/>
      <c r="M32" s="67"/>
      <c r="N32" s="271" t="s">
        <v>182</v>
      </c>
    </row>
    <row r="33" spans="1:16" s="4" customFormat="1" ht="75.75" customHeight="1">
      <c r="A33" s="105" t="s">
        <v>95</v>
      </c>
      <c r="B33" s="102" t="s">
        <v>96</v>
      </c>
      <c r="C33" s="102" t="s">
        <v>97</v>
      </c>
      <c r="D33" s="101" t="s">
        <v>25</v>
      </c>
      <c r="E33" s="101">
        <v>80000</v>
      </c>
      <c r="F33" s="101"/>
      <c r="G33" s="101">
        <v>15400</v>
      </c>
      <c r="H33" s="101"/>
      <c r="I33" s="101">
        <v>6223.8082999999997</v>
      </c>
      <c r="J33" s="101"/>
      <c r="K33" s="153">
        <f>15769.12805+I33</f>
        <v>21992.93635</v>
      </c>
      <c r="L33" s="101"/>
      <c r="M33" s="74"/>
      <c r="N33" s="274" t="s">
        <v>184</v>
      </c>
    </row>
    <row r="34" spans="1:16" s="4" customFormat="1" ht="68.25" customHeight="1">
      <c r="A34" s="105" t="s">
        <v>64</v>
      </c>
      <c r="B34" s="64">
        <v>42752</v>
      </c>
      <c r="C34" s="64">
        <v>44196</v>
      </c>
      <c r="D34" s="65" t="s">
        <v>67</v>
      </c>
      <c r="E34" s="65">
        <v>8000</v>
      </c>
      <c r="F34" s="65"/>
      <c r="G34" s="86">
        <v>9200</v>
      </c>
      <c r="H34" s="73"/>
      <c r="I34" s="65">
        <v>381.89821000000001</v>
      </c>
      <c r="J34" s="65"/>
      <c r="K34" s="86">
        <f>795.30622+I34</f>
        <v>1177.20443</v>
      </c>
      <c r="L34" s="65"/>
      <c r="M34" s="67"/>
      <c r="N34" s="271" t="s">
        <v>185</v>
      </c>
    </row>
    <row r="35" spans="1:16" s="4" customFormat="1" ht="75" customHeight="1" thickBot="1">
      <c r="A35" s="127" t="s">
        <v>65</v>
      </c>
      <c r="B35" s="37">
        <v>42734</v>
      </c>
      <c r="C35" s="37">
        <v>43830</v>
      </c>
      <c r="D35" s="38" t="s">
        <v>31</v>
      </c>
      <c r="E35" s="38">
        <v>6000</v>
      </c>
      <c r="F35" s="38"/>
      <c r="G35" s="38">
        <v>2700</v>
      </c>
      <c r="H35" s="83"/>
      <c r="I35" s="38">
        <v>295.36095999999998</v>
      </c>
      <c r="J35" s="38"/>
      <c r="K35" s="38">
        <f>137.055+I35</f>
        <v>432.41595999999998</v>
      </c>
      <c r="L35" s="38"/>
      <c r="M35" s="39"/>
      <c r="N35" s="77" t="s">
        <v>172</v>
      </c>
    </row>
    <row r="36" spans="1:16" s="8" customFormat="1" ht="38.450000000000003" customHeight="1" thickBot="1">
      <c r="A36" s="207" t="s">
        <v>12</v>
      </c>
      <c r="B36" s="208"/>
      <c r="C36" s="208"/>
      <c r="D36" s="208"/>
      <c r="E36" s="208"/>
      <c r="F36" s="209"/>
      <c r="G36" s="40">
        <f>G37+G38+G39+G40+G42+G43+G45+G46+G48+G49+G50+G47+G52+G53</f>
        <v>211480</v>
      </c>
      <c r="H36" s="94">
        <f t="shared" ref="H36" si="1">H37+H38+H39+H40+H42+H43+H45+H46+H48+H49+H50+H47+H52+H53</f>
        <v>7100</v>
      </c>
      <c r="I36" s="40">
        <f>I37+I38+I39+I40+I42+I43+I45+I46+I48+I49+I50+I47+I52+I53+I51</f>
        <v>68899.728699999992</v>
      </c>
      <c r="J36" s="40">
        <f t="shared" ref="J36:L36" si="2">J37+J38+J39+J40+J42+J43+J45+J46+J48+J49+J50+J47+J52+J53+J51</f>
        <v>2995.87102</v>
      </c>
      <c r="K36" s="40">
        <f>K37+K38+K39+K40+K42+K43+K45+K46+K48+K49+K50+K47+K52+K53+K51</f>
        <v>839984.38186000008</v>
      </c>
      <c r="L36" s="40">
        <f t="shared" si="2"/>
        <v>17884.896949999998</v>
      </c>
      <c r="M36" s="41"/>
      <c r="N36" s="117"/>
      <c r="P36" s="11"/>
    </row>
    <row r="37" spans="1:16" ht="90" customHeight="1">
      <c r="A37" s="184" t="s">
        <v>51</v>
      </c>
      <c r="B37" s="42">
        <v>41869</v>
      </c>
      <c r="C37" s="42" t="s">
        <v>169</v>
      </c>
      <c r="D37" s="43" t="s">
        <v>25</v>
      </c>
      <c r="E37" s="43">
        <v>30000</v>
      </c>
      <c r="F37" s="43">
        <v>5000</v>
      </c>
      <c r="G37" s="43">
        <v>8800</v>
      </c>
      <c r="H37" s="81">
        <v>3600</v>
      </c>
      <c r="I37" s="43">
        <v>4644.6277899999995</v>
      </c>
      <c r="J37" s="81">
        <v>2635.2765100000001</v>
      </c>
      <c r="K37" s="43">
        <f>42550.40846+I37</f>
        <v>47195.036249999997</v>
      </c>
      <c r="L37" s="43">
        <f>4758.74569+J37</f>
        <v>7394.0221999999994</v>
      </c>
      <c r="M37" s="44"/>
      <c r="N37" s="118" t="s">
        <v>128</v>
      </c>
    </row>
    <row r="38" spans="1:16" ht="79.5" customHeight="1">
      <c r="A38" s="128" t="s">
        <v>6</v>
      </c>
      <c r="B38" s="69">
        <v>40227</v>
      </c>
      <c r="C38" s="192">
        <v>44196</v>
      </c>
      <c r="D38" s="68" t="s">
        <v>31</v>
      </c>
      <c r="E38" s="68">
        <v>3000</v>
      </c>
      <c r="F38" s="68"/>
      <c r="G38" s="87">
        <v>3000</v>
      </c>
      <c r="H38" s="82"/>
      <c r="I38" s="68">
        <v>1132.24335</v>
      </c>
      <c r="J38" s="68"/>
      <c r="K38" s="87">
        <f>74.757+I38</f>
        <v>1207.00035</v>
      </c>
      <c r="L38" s="68"/>
      <c r="M38" s="70" t="s">
        <v>39</v>
      </c>
      <c r="N38" s="119" t="s">
        <v>129</v>
      </c>
    </row>
    <row r="39" spans="1:16" ht="123" customHeight="1">
      <c r="A39" s="128" t="s">
        <v>58</v>
      </c>
      <c r="B39" s="69">
        <v>41621</v>
      </c>
      <c r="C39" s="192">
        <v>44926</v>
      </c>
      <c r="D39" s="68" t="s">
        <v>31</v>
      </c>
      <c r="E39" s="68">
        <v>20000</v>
      </c>
      <c r="F39" s="68">
        <v>2000</v>
      </c>
      <c r="G39" s="87">
        <v>15000</v>
      </c>
      <c r="H39" s="82">
        <v>1000</v>
      </c>
      <c r="I39" s="68"/>
      <c r="J39" s="68"/>
      <c r="K39" s="45">
        <f>7439.85874+I39</f>
        <v>7439.8587399999997</v>
      </c>
      <c r="L39" s="68">
        <f>4849.88963+J39</f>
        <v>4849.8896299999997</v>
      </c>
      <c r="M39" s="70" t="s">
        <v>47</v>
      </c>
      <c r="N39" s="119" t="s">
        <v>130</v>
      </c>
    </row>
    <row r="40" spans="1:16" ht="73.900000000000006" customHeight="1">
      <c r="A40" s="228" t="s">
        <v>22</v>
      </c>
      <c r="B40" s="227">
        <v>40350</v>
      </c>
      <c r="C40" s="227">
        <v>44196</v>
      </c>
      <c r="D40" s="68" t="s">
        <v>24</v>
      </c>
      <c r="E40" s="68">
        <f>57986+10639</f>
        <v>68625</v>
      </c>
      <c r="F40" s="205"/>
      <c r="G40" s="236">
        <v>59650</v>
      </c>
      <c r="H40" s="206"/>
      <c r="I40" s="205">
        <v>25638.007799999999</v>
      </c>
      <c r="J40" s="205"/>
      <c r="K40" s="221">
        <f>358756.19854+I40</f>
        <v>384394.20634000003</v>
      </c>
      <c r="L40" s="205"/>
      <c r="M40" s="235" t="s">
        <v>40</v>
      </c>
      <c r="N40" s="231" t="s">
        <v>131</v>
      </c>
    </row>
    <row r="41" spans="1:16" ht="105" customHeight="1">
      <c r="A41" s="228"/>
      <c r="B41" s="227"/>
      <c r="C41" s="227"/>
      <c r="D41" s="68" t="s">
        <v>25</v>
      </c>
      <c r="E41" s="68">
        <f>48886+73000+20000</f>
        <v>141886</v>
      </c>
      <c r="F41" s="205"/>
      <c r="G41" s="237"/>
      <c r="H41" s="206"/>
      <c r="I41" s="205"/>
      <c r="J41" s="205"/>
      <c r="K41" s="222"/>
      <c r="L41" s="205"/>
      <c r="M41" s="235"/>
      <c r="N41" s="231"/>
    </row>
    <row r="42" spans="1:16" ht="117.75" customHeight="1">
      <c r="A42" s="197" t="s">
        <v>2</v>
      </c>
      <c r="B42" s="69">
        <v>40996</v>
      </c>
      <c r="C42" s="84">
        <v>43220</v>
      </c>
      <c r="D42" s="68" t="s">
        <v>25</v>
      </c>
      <c r="E42" s="68">
        <v>60000</v>
      </c>
      <c r="F42" s="68"/>
      <c r="G42" s="181">
        <v>30</v>
      </c>
      <c r="H42" s="82"/>
      <c r="I42" s="68"/>
      <c r="J42" s="46"/>
      <c r="K42" s="87">
        <f>102881.35442+I42</f>
        <v>102881.35442</v>
      </c>
      <c r="L42" s="68"/>
      <c r="M42" s="70" t="s">
        <v>40</v>
      </c>
      <c r="N42" s="119" t="s">
        <v>132</v>
      </c>
    </row>
    <row r="43" spans="1:16" ht="33.6" customHeight="1">
      <c r="A43" s="239" t="s">
        <v>3</v>
      </c>
      <c r="B43" s="227">
        <v>41222</v>
      </c>
      <c r="C43" s="227">
        <v>43830</v>
      </c>
      <c r="D43" s="68" t="s">
        <v>24</v>
      </c>
      <c r="E43" s="68">
        <v>19800</v>
      </c>
      <c r="F43" s="68"/>
      <c r="G43" s="205">
        <v>8500</v>
      </c>
      <c r="H43" s="206"/>
      <c r="I43" s="205">
        <v>7602.3985000000002</v>
      </c>
      <c r="J43" s="205"/>
      <c r="K43" s="205">
        <f>57667.72863+I43</f>
        <v>65270.127130000001</v>
      </c>
      <c r="L43" s="205"/>
      <c r="M43" s="70" t="s">
        <v>40</v>
      </c>
      <c r="N43" s="231" t="s">
        <v>133</v>
      </c>
    </row>
    <row r="44" spans="1:16" ht="42" customHeight="1">
      <c r="A44" s="239"/>
      <c r="B44" s="227"/>
      <c r="C44" s="227"/>
      <c r="D44" s="68" t="s">
        <v>25</v>
      </c>
      <c r="E44" s="68">
        <v>9000</v>
      </c>
      <c r="F44" s="68"/>
      <c r="G44" s="205"/>
      <c r="H44" s="206"/>
      <c r="I44" s="205"/>
      <c r="J44" s="205"/>
      <c r="K44" s="205"/>
      <c r="L44" s="205"/>
      <c r="M44" s="70"/>
      <c r="N44" s="231"/>
    </row>
    <row r="45" spans="1:16" ht="90" customHeight="1">
      <c r="A45" s="198" t="s">
        <v>55</v>
      </c>
      <c r="B45" s="69">
        <v>42223</v>
      </c>
      <c r="C45" s="69">
        <v>43830</v>
      </c>
      <c r="D45" s="68" t="s">
        <v>25</v>
      </c>
      <c r="E45" s="68">
        <v>60000</v>
      </c>
      <c r="F45" s="68"/>
      <c r="G45" s="87">
        <v>24000</v>
      </c>
      <c r="H45" s="82"/>
      <c r="I45" s="68">
        <v>7617.6431899999998</v>
      </c>
      <c r="J45" s="68"/>
      <c r="K45" s="87">
        <f>31101.72865+I45</f>
        <v>38719.37184</v>
      </c>
      <c r="L45" s="68"/>
      <c r="M45" s="70"/>
      <c r="N45" s="119" t="s">
        <v>134</v>
      </c>
    </row>
    <row r="46" spans="1:16" s="10" customFormat="1" ht="63.75" customHeight="1">
      <c r="A46" s="128" t="s">
        <v>56</v>
      </c>
      <c r="B46" s="69">
        <v>42136</v>
      </c>
      <c r="C46" s="200">
        <v>43963</v>
      </c>
      <c r="D46" s="68" t="s">
        <v>31</v>
      </c>
      <c r="E46" s="68">
        <v>4300</v>
      </c>
      <c r="F46" s="68">
        <v>1843</v>
      </c>
      <c r="G46" s="87">
        <v>1000</v>
      </c>
      <c r="H46" s="82"/>
      <c r="I46" s="68">
        <v>474.85966999999999</v>
      </c>
      <c r="J46" s="68"/>
      <c r="K46" s="87">
        <f>119.7894+I46</f>
        <v>594.64906999999994</v>
      </c>
      <c r="L46" s="68"/>
      <c r="M46" s="70"/>
      <c r="N46" s="119" t="s">
        <v>135</v>
      </c>
    </row>
    <row r="47" spans="1:16" s="10" customFormat="1" ht="76.5" customHeight="1">
      <c r="A47" s="166" t="s">
        <v>82</v>
      </c>
      <c r="B47" s="69">
        <v>42563</v>
      </c>
      <c r="C47" s="200">
        <v>43766</v>
      </c>
      <c r="D47" s="68" t="s">
        <v>31</v>
      </c>
      <c r="E47" s="68">
        <v>10000</v>
      </c>
      <c r="F47" s="68">
        <v>2000</v>
      </c>
      <c r="G47" s="87"/>
      <c r="H47" s="82">
        <v>500</v>
      </c>
      <c r="I47" s="68"/>
      <c r="J47" s="68">
        <v>360.59451000000001</v>
      </c>
      <c r="K47" s="87">
        <f>12332.76308+I47</f>
        <v>12332.763080000001</v>
      </c>
      <c r="L47" s="47">
        <f>5280.39061+J47</f>
        <v>5640.9851200000003</v>
      </c>
      <c r="M47" s="70"/>
      <c r="N47" s="119" t="s">
        <v>136</v>
      </c>
    </row>
    <row r="48" spans="1:16" s="4" customFormat="1" ht="69" customHeight="1">
      <c r="A48" s="198" t="s">
        <v>116</v>
      </c>
      <c r="B48" s="191">
        <v>43285</v>
      </c>
      <c r="C48" s="192">
        <v>44016</v>
      </c>
      <c r="D48" s="188" t="s">
        <v>31</v>
      </c>
      <c r="E48" s="188">
        <v>2830</v>
      </c>
      <c r="F48" s="188">
        <v>1870</v>
      </c>
      <c r="G48" s="188">
        <v>3000</v>
      </c>
      <c r="H48" s="188">
        <v>1000</v>
      </c>
      <c r="I48" s="188"/>
      <c r="J48" s="193"/>
      <c r="K48" s="188"/>
      <c r="L48" s="188"/>
      <c r="M48" s="194" t="s">
        <v>41</v>
      </c>
      <c r="N48" s="189" t="s">
        <v>166</v>
      </c>
    </row>
    <row r="49" spans="1:15" s="4" customFormat="1" ht="97.5" customHeight="1">
      <c r="A49" s="198" t="s">
        <v>61</v>
      </c>
      <c r="B49" s="69">
        <v>42411</v>
      </c>
      <c r="C49" s="69">
        <v>44238</v>
      </c>
      <c r="D49" s="68" t="s">
        <v>31</v>
      </c>
      <c r="E49" s="68">
        <v>100000</v>
      </c>
      <c r="F49" s="68"/>
      <c r="G49" s="87">
        <v>59500</v>
      </c>
      <c r="H49" s="82"/>
      <c r="I49" s="68">
        <v>21609.410230000001</v>
      </c>
      <c r="J49" s="68"/>
      <c r="K49" s="87">
        <f>127652.683+I49</f>
        <v>149262.09323</v>
      </c>
      <c r="L49" s="68"/>
      <c r="M49" s="70"/>
      <c r="N49" s="119" t="s">
        <v>137</v>
      </c>
    </row>
    <row r="50" spans="1:15" s="4" customFormat="1" ht="57.75" customHeight="1">
      <c r="A50" s="198" t="s">
        <v>68</v>
      </c>
      <c r="B50" s="137">
        <v>42713</v>
      </c>
      <c r="C50" s="137">
        <v>44561</v>
      </c>
      <c r="D50" s="134" t="s">
        <v>31</v>
      </c>
      <c r="E50" s="134">
        <v>100000</v>
      </c>
      <c r="F50" s="134"/>
      <c r="G50" s="134">
        <v>8000</v>
      </c>
      <c r="H50" s="135"/>
      <c r="I50" s="134"/>
      <c r="J50" s="134"/>
      <c r="K50" s="134"/>
      <c r="L50" s="134"/>
      <c r="M50" s="140"/>
      <c r="N50" s="139" t="s">
        <v>138</v>
      </c>
    </row>
    <row r="51" spans="1:15" s="4" customFormat="1" ht="124.5" customHeight="1">
      <c r="A51" s="199" t="s">
        <v>160</v>
      </c>
      <c r="B51" s="178">
        <v>41884</v>
      </c>
      <c r="C51" s="84">
        <v>43830</v>
      </c>
      <c r="D51" s="179" t="s">
        <v>31</v>
      </c>
      <c r="E51" s="179">
        <v>13200</v>
      </c>
      <c r="F51" s="179"/>
      <c r="G51" s="179"/>
      <c r="H51" s="179"/>
      <c r="I51" s="179">
        <v>180.53817000000001</v>
      </c>
      <c r="J51" s="46"/>
      <c r="K51" s="179">
        <f>30507.38324+I51</f>
        <v>30687.921409999999</v>
      </c>
      <c r="L51" s="179"/>
      <c r="M51" s="180" t="s">
        <v>41</v>
      </c>
      <c r="N51" s="182" t="s">
        <v>161</v>
      </c>
    </row>
    <row r="52" spans="1:15" s="4" customFormat="1" ht="74.25" customHeight="1">
      <c r="A52" s="198" t="s">
        <v>117</v>
      </c>
      <c r="B52" s="137">
        <v>43035</v>
      </c>
      <c r="C52" s="137">
        <v>44925</v>
      </c>
      <c r="D52" s="134" t="s">
        <v>31</v>
      </c>
      <c r="E52" s="134">
        <v>30000</v>
      </c>
      <c r="F52" s="134">
        <v>2000</v>
      </c>
      <c r="G52" s="134">
        <v>1000</v>
      </c>
      <c r="H52" s="135">
        <v>1000</v>
      </c>
      <c r="I52" s="134"/>
      <c r="J52" s="134"/>
      <c r="K52" s="134"/>
      <c r="L52" s="134"/>
      <c r="M52" s="140"/>
      <c r="N52" s="189" t="s">
        <v>167</v>
      </c>
    </row>
    <row r="53" spans="1:15" s="4" customFormat="1" ht="87.75" customHeight="1" thickBot="1">
      <c r="A53" s="129" t="s">
        <v>118</v>
      </c>
      <c r="B53" s="48" t="s">
        <v>140</v>
      </c>
      <c r="C53" s="48" t="s">
        <v>157</v>
      </c>
      <c r="D53" s="49" t="s">
        <v>31</v>
      </c>
      <c r="E53" s="49">
        <v>15000</v>
      </c>
      <c r="F53" s="49"/>
      <c r="G53" s="49">
        <v>20000</v>
      </c>
      <c r="H53" s="95"/>
      <c r="I53" s="49"/>
      <c r="J53" s="49"/>
      <c r="K53" s="50"/>
      <c r="L53" s="49"/>
      <c r="M53" s="51"/>
      <c r="N53" s="120" t="s">
        <v>159</v>
      </c>
    </row>
    <row r="54" spans="1:15" s="8" customFormat="1" ht="37.15" customHeight="1" thickBot="1">
      <c r="A54" s="207" t="s">
        <v>15</v>
      </c>
      <c r="B54" s="208"/>
      <c r="C54" s="208"/>
      <c r="D54" s="208"/>
      <c r="E54" s="208"/>
      <c r="F54" s="209"/>
      <c r="G54" s="40">
        <f>G55+G56+G59+G61+G62+G60+G58</f>
        <v>156290</v>
      </c>
      <c r="H54" s="94">
        <f t="shared" ref="H54:L54" si="3">H55+H56+H59+H61+H62+H60+H58</f>
        <v>11695</v>
      </c>
      <c r="I54" s="40">
        <f>I55+I56+I59+I61+I62+I60+I58</f>
        <v>107079.09049</v>
      </c>
      <c r="J54" s="40">
        <f t="shared" si="3"/>
        <v>9333.8787000000011</v>
      </c>
      <c r="K54" s="40">
        <f>K55+K56+K59+K61+K62+K60+K58</f>
        <v>774452.56507399993</v>
      </c>
      <c r="L54" s="40">
        <f t="shared" si="3"/>
        <v>106954.30079000001</v>
      </c>
      <c r="M54" s="41"/>
      <c r="N54" s="117"/>
      <c r="O54" s="12"/>
    </row>
    <row r="55" spans="1:15" ht="59.25" customHeight="1">
      <c r="A55" s="130" t="s">
        <v>23</v>
      </c>
      <c r="B55" s="52">
        <v>39626</v>
      </c>
      <c r="C55" s="52">
        <v>43829</v>
      </c>
      <c r="D55" s="32" t="s">
        <v>31</v>
      </c>
      <c r="E55" s="32">
        <v>3700</v>
      </c>
      <c r="F55" s="32">
        <v>1814</v>
      </c>
      <c r="G55" s="85">
        <v>1500</v>
      </c>
      <c r="H55" s="96"/>
      <c r="I55" s="32">
        <v>342.8655</v>
      </c>
      <c r="J55" s="53"/>
      <c r="K55" s="85">
        <f>6580.461404+I55</f>
        <v>6923.3269039999996</v>
      </c>
      <c r="L55" s="32">
        <f>3649.68102+J55</f>
        <v>3649.68102</v>
      </c>
      <c r="M55" s="54" t="s">
        <v>40</v>
      </c>
      <c r="N55" s="121" t="s">
        <v>139</v>
      </c>
    </row>
    <row r="56" spans="1:15" ht="207" customHeight="1">
      <c r="A56" s="204" t="s">
        <v>4</v>
      </c>
      <c r="B56" s="210">
        <v>40673</v>
      </c>
      <c r="C56" s="211">
        <v>44284</v>
      </c>
      <c r="D56" s="33" t="s">
        <v>24</v>
      </c>
      <c r="E56" s="33">
        <f>51343+25047+64205+23005</f>
        <v>163600</v>
      </c>
      <c r="F56" s="213"/>
      <c r="G56" s="213">
        <v>122700</v>
      </c>
      <c r="H56" s="230"/>
      <c r="I56" s="230">
        <v>79556.772949999999</v>
      </c>
      <c r="J56" s="212"/>
      <c r="K56" s="213">
        <f>491362.10463+I56</f>
        <v>570918.87757999997</v>
      </c>
      <c r="L56" s="213"/>
      <c r="M56" s="34" t="s">
        <v>7</v>
      </c>
      <c r="N56" s="272" t="s">
        <v>183</v>
      </c>
    </row>
    <row r="57" spans="1:15" ht="286.5" customHeight="1">
      <c r="A57" s="204"/>
      <c r="B57" s="210"/>
      <c r="C57" s="211"/>
      <c r="D57" s="33" t="s">
        <v>25</v>
      </c>
      <c r="E57" s="33">
        <f>108000+43000+99000</f>
        <v>250000</v>
      </c>
      <c r="F57" s="213"/>
      <c r="G57" s="213"/>
      <c r="H57" s="230"/>
      <c r="I57" s="230"/>
      <c r="J57" s="212"/>
      <c r="K57" s="213"/>
      <c r="L57" s="213"/>
      <c r="M57" s="34"/>
      <c r="N57" s="273"/>
    </row>
    <row r="58" spans="1:15" s="14" customFormat="1" ht="71.25" customHeight="1">
      <c r="A58" s="72" t="s">
        <v>107</v>
      </c>
      <c r="B58" s="104" t="s">
        <v>141</v>
      </c>
      <c r="C58" s="104" t="s">
        <v>142</v>
      </c>
      <c r="D58" s="108" t="s">
        <v>31</v>
      </c>
      <c r="E58" s="103">
        <v>100</v>
      </c>
      <c r="F58" s="79"/>
      <c r="G58" s="86"/>
      <c r="H58" s="73">
        <v>2500</v>
      </c>
      <c r="I58" s="79"/>
      <c r="J58" s="89"/>
      <c r="K58" s="86">
        <f>35.07802+I58</f>
        <v>35.078020000000002</v>
      </c>
      <c r="L58" s="79"/>
      <c r="M58" s="90"/>
      <c r="N58" s="110" t="s">
        <v>143</v>
      </c>
    </row>
    <row r="59" spans="1:15" ht="198" customHeight="1">
      <c r="A59" s="72" t="s">
        <v>69</v>
      </c>
      <c r="B59" s="20">
        <v>40773</v>
      </c>
      <c r="C59" s="20">
        <v>43830</v>
      </c>
      <c r="D59" s="55" t="s">
        <v>31</v>
      </c>
      <c r="E59" s="55">
        <f>2988.339+4000+20000</f>
        <v>26988.339</v>
      </c>
      <c r="F59" s="55">
        <f>4500+6728.536+9000+4000+7000</f>
        <v>31228.536</v>
      </c>
      <c r="G59" s="86">
        <v>18400</v>
      </c>
      <c r="H59" s="73">
        <v>2850</v>
      </c>
      <c r="I59" s="55">
        <v>8697.8043300000008</v>
      </c>
      <c r="J59" s="55">
        <v>4738.1338100000003</v>
      </c>
      <c r="K59" s="86">
        <f>46200.7648+I59</f>
        <v>54898.569129999996</v>
      </c>
      <c r="L59" s="55">
        <f>57507.50654+J59</f>
        <v>62245.640350000001</v>
      </c>
      <c r="M59" s="33" t="s">
        <v>8</v>
      </c>
      <c r="N59" s="71" t="s">
        <v>83</v>
      </c>
    </row>
    <row r="60" spans="1:15" ht="63.75" customHeight="1">
      <c r="A60" s="72" t="s">
        <v>78</v>
      </c>
      <c r="B60" s="20">
        <v>42360</v>
      </c>
      <c r="C60" s="20">
        <v>44012</v>
      </c>
      <c r="D60" s="33" t="s">
        <v>31</v>
      </c>
      <c r="E60" s="33">
        <v>30000</v>
      </c>
      <c r="F60" s="33">
        <v>2000</v>
      </c>
      <c r="G60" s="86">
        <v>9690</v>
      </c>
      <c r="H60" s="73">
        <v>4345</v>
      </c>
      <c r="I60" s="33">
        <v>12845.438410000001</v>
      </c>
      <c r="J60" s="33">
        <v>220.72931</v>
      </c>
      <c r="K60" s="86">
        <f>34681.49112+I60</f>
        <v>47526.929530000001</v>
      </c>
      <c r="L60" s="33">
        <f>3499.04143+J60</f>
        <v>3719.7707400000004</v>
      </c>
      <c r="M60" s="33"/>
      <c r="N60" s="71" t="s">
        <v>144</v>
      </c>
    </row>
    <row r="61" spans="1:15" ht="51.75" customHeight="1">
      <c r="A61" s="72" t="s">
        <v>84</v>
      </c>
      <c r="B61" s="20">
        <v>41506</v>
      </c>
      <c r="C61" s="36">
        <v>43332</v>
      </c>
      <c r="D61" s="33" t="s">
        <v>31</v>
      </c>
      <c r="E61" s="33">
        <v>40000</v>
      </c>
      <c r="F61" s="33">
        <v>8000</v>
      </c>
      <c r="G61" s="86">
        <v>4000</v>
      </c>
      <c r="H61" s="73">
        <v>700</v>
      </c>
      <c r="I61" s="33">
        <v>5636.2093000000004</v>
      </c>
      <c r="J61" s="55">
        <v>1456.9851799999999</v>
      </c>
      <c r="K61" s="86">
        <f>88513.57461+I61</f>
        <v>94149.783909999998</v>
      </c>
      <c r="L61" s="33">
        <f>17820.5113+J61</f>
        <v>19277.496479999998</v>
      </c>
      <c r="M61" s="34" t="s">
        <v>40</v>
      </c>
      <c r="N61" s="71" t="s">
        <v>145</v>
      </c>
    </row>
    <row r="62" spans="1:15" ht="41.45" customHeight="1" thickBot="1">
      <c r="A62" s="131" t="s">
        <v>36</v>
      </c>
      <c r="B62" s="37">
        <v>41480</v>
      </c>
      <c r="C62" s="37" t="s">
        <v>163</v>
      </c>
      <c r="D62" s="38" t="s">
        <v>25</v>
      </c>
      <c r="E62" s="38"/>
      <c r="F62" s="38">
        <v>10052.155000000001</v>
      </c>
      <c r="G62" s="38"/>
      <c r="H62" s="83">
        <v>1300</v>
      </c>
      <c r="I62" s="38"/>
      <c r="J62" s="56">
        <v>2918.0304000000001</v>
      </c>
      <c r="K62" s="38"/>
      <c r="L62" s="38">
        <f>15143.6818+J62</f>
        <v>18061.712200000002</v>
      </c>
      <c r="M62" s="39" t="s">
        <v>40</v>
      </c>
      <c r="N62" s="77" t="s">
        <v>93</v>
      </c>
    </row>
    <row r="63" spans="1:15" s="8" customFormat="1" ht="30" customHeight="1" thickBot="1">
      <c r="A63" s="207" t="s">
        <v>11</v>
      </c>
      <c r="B63" s="208"/>
      <c r="C63" s="208"/>
      <c r="D63" s="208"/>
      <c r="E63" s="208"/>
      <c r="F63" s="209"/>
      <c r="G63" s="40">
        <f t="shared" ref="G63:L63" si="4">G64+G65+G69+G66+G68+G67+G70+G71+G72+G73+G74+G75</f>
        <v>86600</v>
      </c>
      <c r="H63" s="94">
        <f t="shared" si="4"/>
        <v>14000</v>
      </c>
      <c r="I63" s="40">
        <f t="shared" si="4"/>
        <v>5998.7963399999999</v>
      </c>
      <c r="J63" s="40">
        <f t="shared" si="4"/>
        <v>0</v>
      </c>
      <c r="K63" s="40">
        <f t="shared" si="4"/>
        <v>264202.52190499997</v>
      </c>
      <c r="L63" s="40">
        <f t="shared" si="4"/>
        <v>20950.680079999998</v>
      </c>
      <c r="M63" s="41"/>
      <c r="N63" s="117"/>
    </row>
    <row r="64" spans="1:15" ht="107.25" customHeight="1">
      <c r="A64" s="130" t="s">
        <v>113</v>
      </c>
      <c r="B64" s="113">
        <v>43105</v>
      </c>
      <c r="C64" s="113" t="s">
        <v>112</v>
      </c>
      <c r="D64" s="111" t="s">
        <v>31</v>
      </c>
      <c r="E64" s="111">
        <v>28000</v>
      </c>
      <c r="F64" s="111">
        <v>7000</v>
      </c>
      <c r="G64" s="85">
        <v>15000</v>
      </c>
      <c r="H64" s="96">
        <v>10000</v>
      </c>
      <c r="I64" s="187">
        <v>356.97039999999998</v>
      </c>
      <c r="J64" s="88"/>
      <c r="K64" s="85">
        <f>2588.27771+I64</f>
        <v>2945.24811</v>
      </c>
      <c r="L64" s="85"/>
      <c r="M64" s="54" t="s">
        <v>9</v>
      </c>
      <c r="N64" s="121" t="s">
        <v>146</v>
      </c>
    </row>
    <row r="65" spans="1:14" ht="50.45" customHeight="1">
      <c r="A65" s="132" t="s">
        <v>85</v>
      </c>
      <c r="B65" s="218">
        <v>41572</v>
      </c>
      <c r="C65" s="218">
        <v>44012</v>
      </c>
      <c r="D65" s="224" t="s">
        <v>31</v>
      </c>
      <c r="E65" s="224">
        <f>25200+35000</f>
        <v>60200</v>
      </c>
      <c r="F65" s="33">
        <v>8000</v>
      </c>
      <c r="G65" s="86">
        <v>6400</v>
      </c>
      <c r="H65" s="73"/>
      <c r="I65" s="33">
        <v>666.02692999999999</v>
      </c>
      <c r="J65" s="33"/>
      <c r="K65" s="86">
        <f>92412.661955+I65</f>
        <v>93078.68888500001</v>
      </c>
      <c r="L65" s="33">
        <v>20950.680079999998</v>
      </c>
      <c r="M65" s="34" t="s">
        <v>33</v>
      </c>
      <c r="N65" s="234" t="s">
        <v>147</v>
      </c>
    </row>
    <row r="66" spans="1:14" s="10" customFormat="1" ht="50.25" customHeight="1">
      <c r="A66" s="132" t="s">
        <v>86</v>
      </c>
      <c r="B66" s="219"/>
      <c r="C66" s="219"/>
      <c r="D66" s="225"/>
      <c r="E66" s="225"/>
      <c r="F66" s="33"/>
      <c r="G66" s="86">
        <v>4700</v>
      </c>
      <c r="H66" s="73"/>
      <c r="I66" s="33">
        <v>3517.7945300000001</v>
      </c>
      <c r="J66" s="33"/>
      <c r="K66" s="86">
        <f>45219.89027+I66</f>
        <v>48737.684800000003</v>
      </c>
      <c r="L66" s="33"/>
      <c r="M66" s="34"/>
      <c r="N66" s="234"/>
    </row>
    <row r="67" spans="1:14" ht="50.25" customHeight="1">
      <c r="A67" s="72" t="s">
        <v>73</v>
      </c>
      <c r="B67" s="220"/>
      <c r="C67" s="220"/>
      <c r="D67" s="226"/>
      <c r="E67" s="226"/>
      <c r="F67" s="33"/>
      <c r="G67" s="86"/>
      <c r="H67" s="73"/>
      <c r="I67" s="33"/>
      <c r="J67" s="55"/>
      <c r="K67" s="86">
        <v>5120.6747100000002</v>
      </c>
      <c r="L67" s="33"/>
      <c r="M67" s="34"/>
      <c r="N67" s="112" t="s">
        <v>148</v>
      </c>
    </row>
    <row r="68" spans="1:14" ht="79.900000000000006" customHeight="1">
      <c r="A68" s="72" t="s">
        <v>72</v>
      </c>
      <c r="B68" s="20">
        <v>42838</v>
      </c>
      <c r="C68" s="36">
        <v>44742</v>
      </c>
      <c r="D68" s="78" t="s">
        <v>31</v>
      </c>
      <c r="E68" s="76">
        <v>125000</v>
      </c>
      <c r="F68" s="33"/>
      <c r="G68" s="153">
        <v>5000</v>
      </c>
      <c r="H68" s="154">
        <v>4000</v>
      </c>
      <c r="I68" s="33"/>
      <c r="J68" s="55"/>
      <c r="K68" s="86"/>
      <c r="L68" s="33"/>
      <c r="M68" s="34"/>
      <c r="N68" s="112" t="s">
        <v>149</v>
      </c>
    </row>
    <row r="69" spans="1:14" ht="70.5" customHeight="1">
      <c r="A69" s="72" t="s">
        <v>62</v>
      </c>
      <c r="B69" s="210">
        <v>41885</v>
      </c>
      <c r="C69" s="210">
        <v>44378</v>
      </c>
      <c r="D69" s="33" t="s">
        <v>25</v>
      </c>
      <c r="E69" s="213">
        <v>60000</v>
      </c>
      <c r="F69" s="33"/>
      <c r="G69" s="86">
        <v>10000</v>
      </c>
      <c r="H69" s="73"/>
      <c r="I69" s="33">
        <v>1458.0044800000001</v>
      </c>
      <c r="J69" s="55"/>
      <c r="K69" s="86">
        <f>112430.30228+I69</f>
        <v>113888.30676000001</v>
      </c>
      <c r="L69" s="33"/>
      <c r="M69" s="34"/>
      <c r="N69" s="71" t="s">
        <v>150</v>
      </c>
    </row>
    <row r="70" spans="1:14" ht="48.75" customHeight="1">
      <c r="A70" s="72" t="s">
        <v>74</v>
      </c>
      <c r="B70" s="210"/>
      <c r="C70" s="210"/>
      <c r="D70" s="33" t="s">
        <v>25</v>
      </c>
      <c r="E70" s="214"/>
      <c r="F70" s="33"/>
      <c r="G70" s="86"/>
      <c r="H70" s="73"/>
      <c r="I70" s="33"/>
      <c r="J70" s="55"/>
      <c r="K70" s="86">
        <f>431.91864+I70</f>
        <v>431.91863999999998</v>
      </c>
      <c r="L70" s="33"/>
      <c r="M70" s="34"/>
      <c r="N70" s="71" t="s">
        <v>90</v>
      </c>
    </row>
    <row r="71" spans="1:14" ht="151.5" customHeight="1">
      <c r="A71" s="72" t="s">
        <v>75</v>
      </c>
      <c r="B71" s="20"/>
      <c r="C71" s="20"/>
      <c r="D71" s="33" t="s">
        <v>31</v>
      </c>
      <c r="E71" s="33"/>
      <c r="F71" s="33"/>
      <c r="G71" s="86">
        <v>13500</v>
      </c>
      <c r="H71" s="73"/>
      <c r="I71" s="33"/>
      <c r="J71" s="55"/>
      <c r="K71" s="86"/>
      <c r="L71" s="33"/>
      <c r="M71" s="34"/>
      <c r="N71" s="112" t="s">
        <v>89</v>
      </c>
    </row>
    <row r="72" spans="1:14" ht="73.5" customHeight="1">
      <c r="A72" s="72" t="s">
        <v>76</v>
      </c>
      <c r="B72" s="20"/>
      <c r="C72" s="20"/>
      <c r="D72" s="33"/>
      <c r="E72" s="33"/>
      <c r="F72" s="33"/>
      <c r="G72" s="86">
        <v>9000</v>
      </c>
      <c r="H72" s="73"/>
      <c r="I72" s="33"/>
      <c r="J72" s="55"/>
      <c r="K72" s="86"/>
      <c r="L72" s="33"/>
      <c r="M72" s="34"/>
      <c r="N72" s="71" t="s">
        <v>80</v>
      </c>
    </row>
    <row r="73" spans="1:14" ht="111.75" customHeight="1">
      <c r="A73" s="176" t="s">
        <v>77</v>
      </c>
      <c r="B73" s="169"/>
      <c r="C73" s="36"/>
      <c r="D73" s="78"/>
      <c r="E73" s="170"/>
      <c r="F73" s="170"/>
      <c r="G73" s="170">
        <v>4500</v>
      </c>
      <c r="H73" s="171"/>
      <c r="I73" s="170"/>
      <c r="J73" s="172"/>
      <c r="K73" s="170"/>
      <c r="L73" s="170"/>
      <c r="M73" s="173"/>
      <c r="N73" s="175" t="s">
        <v>81</v>
      </c>
    </row>
    <row r="74" spans="1:14" s="14" customFormat="1" ht="49.5" customHeight="1">
      <c r="A74" s="151" t="s">
        <v>119</v>
      </c>
      <c r="B74" s="145"/>
      <c r="C74" s="36"/>
      <c r="D74" s="78" t="s">
        <v>31</v>
      </c>
      <c r="E74" s="146"/>
      <c r="F74" s="146"/>
      <c r="G74" s="146">
        <v>9500</v>
      </c>
      <c r="H74" s="147"/>
      <c r="I74" s="146"/>
      <c r="J74" s="148"/>
      <c r="K74" s="146"/>
      <c r="L74" s="146"/>
      <c r="M74" s="149"/>
      <c r="N74" s="150" t="s">
        <v>158</v>
      </c>
    </row>
    <row r="75" spans="1:14" s="14" customFormat="1" ht="50.25" customHeight="1" thickBot="1">
      <c r="A75" s="155" t="s">
        <v>120</v>
      </c>
      <c r="B75" s="156"/>
      <c r="C75" s="156"/>
      <c r="D75" s="157" t="s">
        <v>31</v>
      </c>
      <c r="E75" s="157"/>
      <c r="F75" s="157"/>
      <c r="G75" s="157">
        <v>9000</v>
      </c>
      <c r="H75" s="158"/>
      <c r="I75" s="157"/>
      <c r="J75" s="159"/>
      <c r="K75" s="157"/>
      <c r="L75" s="157"/>
      <c r="M75" s="160"/>
      <c r="N75" s="161" t="s">
        <v>158</v>
      </c>
    </row>
    <row r="76" spans="1:14" s="14" customFormat="1" ht="36.6" customHeight="1" thickBot="1">
      <c r="A76" s="207" t="s">
        <v>17</v>
      </c>
      <c r="B76" s="208"/>
      <c r="C76" s="208"/>
      <c r="D76" s="208"/>
      <c r="E76" s="208"/>
      <c r="F76" s="209"/>
      <c r="G76" s="40">
        <f>G77+G80+G82+G81</f>
        <v>19830</v>
      </c>
      <c r="H76" s="94">
        <f>H77+H80+H82+H81</f>
        <v>4310</v>
      </c>
      <c r="I76" s="40">
        <f t="shared" ref="I76:L76" si="5">I77+I80+I82+I81</f>
        <v>11170.532649999999</v>
      </c>
      <c r="J76" s="40">
        <f t="shared" si="5"/>
        <v>2243.87806</v>
      </c>
      <c r="K76" s="40">
        <f t="shared" si="5"/>
        <v>77016.071815999981</v>
      </c>
      <c r="L76" s="40">
        <f t="shared" si="5"/>
        <v>8847.3616000000002</v>
      </c>
      <c r="M76" s="41"/>
      <c r="N76" s="117"/>
    </row>
    <row r="77" spans="1:14" s="14" customFormat="1" ht="118.15" customHeight="1">
      <c r="A77" s="217" t="s">
        <v>52</v>
      </c>
      <c r="B77" s="57">
        <v>42052</v>
      </c>
      <c r="C77" s="201">
        <v>44121</v>
      </c>
      <c r="D77" s="32" t="s">
        <v>24</v>
      </c>
      <c r="E77" s="32">
        <v>8610</v>
      </c>
      <c r="F77" s="32"/>
      <c r="G77" s="223">
        <v>6730</v>
      </c>
      <c r="H77" s="229">
        <v>4070</v>
      </c>
      <c r="I77" s="223">
        <v>6805.2087000000001</v>
      </c>
      <c r="J77" s="223">
        <v>2243.87806</v>
      </c>
      <c r="K77" s="223">
        <f>16279.05301+I77</f>
        <v>23084.261709999999</v>
      </c>
      <c r="L77" s="223">
        <f>6102.55654+J77</f>
        <v>8346.4346000000005</v>
      </c>
      <c r="M77" s="54"/>
      <c r="N77" s="232" t="s">
        <v>186</v>
      </c>
    </row>
    <row r="78" spans="1:14" s="14" customFormat="1" ht="125.45" customHeight="1">
      <c r="A78" s="204"/>
      <c r="B78" s="36">
        <v>41978</v>
      </c>
      <c r="C78" s="58">
        <v>42735</v>
      </c>
      <c r="D78" s="33" t="s">
        <v>25</v>
      </c>
      <c r="E78" s="33"/>
      <c r="F78" s="33">
        <v>500</v>
      </c>
      <c r="G78" s="213"/>
      <c r="H78" s="230"/>
      <c r="I78" s="213"/>
      <c r="J78" s="213"/>
      <c r="K78" s="213"/>
      <c r="L78" s="213"/>
      <c r="M78" s="34"/>
      <c r="N78" s="233"/>
    </row>
    <row r="79" spans="1:14" s="8" customFormat="1" ht="111.6" customHeight="1">
      <c r="A79" s="204"/>
      <c r="B79" s="36">
        <v>42052</v>
      </c>
      <c r="C79" s="58">
        <v>44121</v>
      </c>
      <c r="D79" s="33" t="s">
        <v>25</v>
      </c>
      <c r="E79" s="33"/>
      <c r="F79" s="33">
        <v>5300</v>
      </c>
      <c r="G79" s="213"/>
      <c r="H79" s="230"/>
      <c r="I79" s="213"/>
      <c r="J79" s="213"/>
      <c r="K79" s="213"/>
      <c r="L79" s="213"/>
      <c r="M79" s="34"/>
      <c r="N79" s="233"/>
    </row>
    <row r="80" spans="1:14" ht="69.75" customHeight="1">
      <c r="A80" s="204" t="s">
        <v>54</v>
      </c>
      <c r="B80" s="210">
        <v>41964</v>
      </c>
      <c r="C80" s="211">
        <v>44408</v>
      </c>
      <c r="D80" s="212" t="s">
        <v>24</v>
      </c>
      <c r="E80" s="213">
        <v>32400</v>
      </c>
      <c r="F80" s="213"/>
      <c r="G80" s="146">
        <v>11000</v>
      </c>
      <c r="H80" s="146"/>
      <c r="I80" s="33">
        <v>3527.4662899999998</v>
      </c>
      <c r="J80" s="55"/>
      <c r="K80" s="86">
        <f>45181.823066+I80</f>
        <v>48709.289355999994</v>
      </c>
      <c r="L80" s="33"/>
      <c r="M80" s="34"/>
      <c r="N80" s="71" t="s">
        <v>151</v>
      </c>
    </row>
    <row r="81" spans="1:14" ht="61.5" customHeight="1">
      <c r="A81" s="204"/>
      <c r="B81" s="210"/>
      <c r="C81" s="211"/>
      <c r="D81" s="212"/>
      <c r="E81" s="213"/>
      <c r="F81" s="213"/>
      <c r="G81" s="146">
        <v>2100</v>
      </c>
      <c r="H81" s="146"/>
      <c r="I81" s="33">
        <v>837.85766000000001</v>
      </c>
      <c r="J81" s="55"/>
      <c r="K81" s="86">
        <f>4384.66309+I81</f>
        <v>5222.5207499999997</v>
      </c>
      <c r="L81" s="33"/>
      <c r="M81" s="34"/>
      <c r="N81" s="71" t="s">
        <v>152</v>
      </c>
    </row>
    <row r="82" spans="1:14" ht="85.5" customHeight="1" thickBot="1">
      <c r="A82" s="131" t="s">
        <v>53</v>
      </c>
      <c r="B82" s="37">
        <v>41946</v>
      </c>
      <c r="C82" s="59">
        <v>43190</v>
      </c>
      <c r="D82" s="56" t="s">
        <v>31</v>
      </c>
      <c r="E82" s="38"/>
      <c r="F82" s="38">
        <v>861</v>
      </c>
      <c r="G82" s="38"/>
      <c r="H82" s="83">
        <v>240</v>
      </c>
      <c r="I82" s="83"/>
      <c r="J82" s="38"/>
      <c r="K82" s="38"/>
      <c r="L82" s="38">
        <f>500.927+J82</f>
        <v>500.92700000000002</v>
      </c>
      <c r="M82" s="39"/>
      <c r="N82" s="77" t="s">
        <v>153</v>
      </c>
    </row>
    <row r="83" spans="1:14" ht="33" customHeight="1" thickBot="1">
      <c r="A83" s="207" t="s">
        <v>19</v>
      </c>
      <c r="B83" s="208"/>
      <c r="C83" s="208"/>
      <c r="D83" s="208"/>
      <c r="E83" s="208"/>
      <c r="F83" s="209"/>
      <c r="G83" s="40">
        <f>G84+G85</f>
        <v>0</v>
      </c>
      <c r="H83" s="94">
        <f t="shared" ref="H83:L83" si="6">H84+H85</f>
        <v>4645</v>
      </c>
      <c r="I83" s="40">
        <f t="shared" si="6"/>
        <v>0</v>
      </c>
      <c r="J83" s="40">
        <f t="shared" si="6"/>
        <v>1441.4933700000001</v>
      </c>
      <c r="K83" s="40">
        <f t="shared" si="6"/>
        <v>0</v>
      </c>
      <c r="L83" s="40">
        <f t="shared" si="6"/>
        <v>23504.327380000002</v>
      </c>
      <c r="M83" s="60"/>
      <c r="N83" s="94"/>
    </row>
    <row r="84" spans="1:14" ht="154.5" customHeight="1">
      <c r="A84" s="130" t="s">
        <v>16</v>
      </c>
      <c r="B84" s="57">
        <v>40119</v>
      </c>
      <c r="C84" s="52">
        <v>43465</v>
      </c>
      <c r="D84" s="32" t="s">
        <v>31</v>
      </c>
      <c r="E84" s="32"/>
      <c r="F84" s="32">
        <v>2267</v>
      </c>
      <c r="G84" s="85"/>
      <c r="H84" s="96">
        <v>1345</v>
      </c>
      <c r="I84" s="32"/>
      <c r="J84" s="53">
        <v>725.90480000000002</v>
      </c>
      <c r="K84" s="85"/>
      <c r="L84" s="32">
        <f>6077.20889+J84</f>
        <v>6803.1136900000001</v>
      </c>
      <c r="M84" s="54" t="s">
        <v>44</v>
      </c>
      <c r="N84" s="121" t="s">
        <v>154</v>
      </c>
    </row>
    <row r="85" spans="1:14" ht="194.25" customHeight="1" thickBot="1">
      <c r="A85" s="131" t="s">
        <v>5</v>
      </c>
      <c r="B85" s="59">
        <v>40589</v>
      </c>
      <c r="C85" s="59" t="s">
        <v>94</v>
      </c>
      <c r="D85" s="56" t="s">
        <v>31</v>
      </c>
      <c r="E85" s="38"/>
      <c r="F85" s="38">
        <v>8250</v>
      </c>
      <c r="G85" s="38"/>
      <c r="H85" s="83">
        <v>3300</v>
      </c>
      <c r="I85" s="38"/>
      <c r="J85" s="38">
        <v>715.58857</v>
      </c>
      <c r="K85" s="38"/>
      <c r="L85" s="38">
        <f>15985.62512+J85</f>
        <v>16701.21369</v>
      </c>
      <c r="M85" s="39" t="s">
        <v>44</v>
      </c>
      <c r="N85" s="122" t="s">
        <v>155</v>
      </c>
    </row>
    <row r="86" spans="1:14" s="8" customFormat="1" ht="35.450000000000003" customHeight="1" thickBot="1">
      <c r="A86" s="207" t="s">
        <v>18</v>
      </c>
      <c r="B86" s="208"/>
      <c r="C86" s="208"/>
      <c r="D86" s="208"/>
      <c r="E86" s="208"/>
      <c r="F86" s="209"/>
      <c r="G86" s="40">
        <f>G87+G92+G89+G90+G88+G91</f>
        <v>146300</v>
      </c>
      <c r="H86" s="94">
        <f t="shared" ref="H86:L86" si="7">H87+H92+H89+H90+H88+H91</f>
        <v>42900</v>
      </c>
      <c r="I86" s="40">
        <f t="shared" si="7"/>
        <v>5023.6564900000003</v>
      </c>
      <c r="J86" s="40">
        <f t="shared" si="7"/>
        <v>59051.498760000002</v>
      </c>
      <c r="K86" s="40">
        <f t="shared" si="7"/>
        <v>244421.68674999996</v>
      </c>
      <c r="L86" s="40">
        <f t="shared" si="7"/>
        <v>340850.41075139999</v>
      </c>
      <c r="M86" s="60"/>
      <c r="N86" s="94"/>
    </row>
    <row r="87" spans="1:14" ht="409.6" customHeight="1">
      <c r="A87" s="130" t="s">
        <v>49</v>
      </c>
      <c r="B87" s="57">
        <v>41103</v>
      </c>
      <c r="C87" s="202">
        <v>43767</v>
      </c>
      <c r="D87" s="53" t="s">
        <v>25</v>
      </c>
      <c r="E87" s="32"/>
      <c r="F87" s="32">
        <f>140000+2700</f>
        <v>142700</v>
      </c>
      <c r="G87" s="85"/>
      <c r="H87" s="96">
        <v>38900</v>
      </c>
      <c r="I87" s="32"/>
      <c r="J87" s="53">
        <v>59051.498760000002</v>
      </c>
      <c r="K87" s="85"/>
      <c r="L87" s="32">
        <f>281798.9119914+J87</f>
        <v>340850.41075139999</v>
      </c>
      <c r="M87" s="54" t="s">
        <v>14</v>
      </c>
      <c r="N87" s="174" t="s">
        <v>173</v>
      </c>
    </row>
    <row r="88" spans="1:14" ht="72" customHeight="1">
      <c r="A88" s="72" t="s">
        <v>71</v>
      </c>
      <c r="B88" s="20">
        <v>42661</v>
      </c>
      <c r="C88" s="20">
        <v>44377</v>
      </c>
      <c r="D88" s="33" t="s">
        <v>31</v>
      </c>
      <c r="E88" s="33">
        <v>14000</v>
      </c>
      <c r="F88" s="33"/>
      <c r="G88" s="86">
        <v>1500</v>
      </c>
      <c r="H88" s="73">
        <v>1000</v>
      </c>
      <c r="I88" s="33">
        <v>24.3049</v>
      </c>
      <c r="J88" s="33"/>
      <c r="K88" s="86"/>
      <c r="L88" s="35">
        <v>0</v>
      </c>
      <c r="M88" s="34"/>
      <c r="N88" s="168" t="s">
        <v>168</v>
      </c>
    </row>
    <row r="89" spans="1:14" s="8" customFormat="1" ht="57" customHeight="1">
      <c r="A89" s="132" t="s">
        <v>60</v>
      </c>
      <c r="B89" s="20">
        <v>42346</v>
      </c>
      <c r="C89" s="20">
        <v>43228</v>
      </c>
      <c r="D89" s="33" t="s">
        <v>31</v>
      </c>
      <c r="E89" s="33">
        <v>82821</v>
      </c>
      <c r="F89" s="33"/>
      <c r="G89" s="86">
        <v>55000</v>
      </c>
      <c r="H89" s="73"/>
      <c r="I89" s="33"/>
      <c r="J89" s="33"/>
      <c r="K89" s="86">
        <f>226048.34892+I89</f>
        <v>226048.34891999999</v>
      </c>
      <c r="L89" s="33"/>
      <c r="M89" s="34"/>
      <c r="N89" s="71" t="s">
        <v>91</v>
      </c>
    </row>
    <row r="90" spans="1:14" ht="48" customHeight="1">
      <c r="A90" s="132" t="s">
        <v>70</v>
      </c>
      <c r="B90" s="20">
        <v>42929</v>
      </c>
      <c r="C90" s="20">
        <v>43830</v>
      </c>
      <c r="D90" s="33" t="s">
        <v>31</v>
      </c>
      <c r="E90" s="33">
        <v>5500</v>
      </c>
      <c r="F90" s="33">
        <v>1500</v>
      </c>
      <c r="G90" s="86">
        <v>4800</v>
      </c>
      <c r="H90" s="73">
        <v>3000</v>
      </c>
      <c r="I90" s="33">
        <v>1017.89769</v>
      </c>
      <c r="J90" s="33"/>
      <c r="K90" s="153">
        <f>8749.28036+I90</f>
        <v>9767.1780500000004</v>
      </c>
      <c r="L90" s="35">
        <v>0</v>
      </c>
      <c r="M90" s="34"/>
      <c r="N90" s="167" t="s">
        <v>156</v>
      </c>
    </row>
    <row r="91" spans="1:14" ht="56.25" customHeight="1">
      <c r="A91" s="162" t="s">
        <v>121</v>
      </c>
      <c r="B91" s="152"/>
      <c r="C91" s="152"/>
      <c r="D91" s="143"/>
      <c r="E91" s="143"/>
      <c r="F91" s="143"/>
      <c r="G91" s="143">
        <v>75000</v>
      </c>
      <c r="H91" s="144"/>
      <c r="I91" s="143"/>
      <c r="J91" s="143"/>
      <c r="K91" s="163"/>
      <c r="L91" s="163"/>
      <c r="M91" s="164"/>
      <c r="N91" s="165" t="s">
        <v>158</v>
      </c>
    </row>
    <row r="92" spans="1:14" ht="110.25" customHeight="1" thickBot="1">
      <c r="A92" s="131" t="s">
        <v>59</v>
      </c>
      <c r="B92" s="59">
        <v>42457</v>
      </c>
      <c r="C92" s="59">
        <v>44316</v>
      </c>
      <c r="D92" s="56" t="s">
        <v>25</v>
      </c>
      <c r="E92" s="38">
        <v>40000</v>
      </c>
      <c r="F92" s="38"/>
      <c r="G92" s="38">
        <v>10000</v>
      </c>
      <c r="H92" s="83"/>
      <c r="I92" s="38">
        <v>3981.4539</v>
      </c>
      <c r="J92" s="38"/>
      <c r="K92" s="38">
        <f>4624.70588+I92</f>
        <v>8606.15978</v>
      </c>
      <c r="L92" s="38"/>
      <c r="M92" s="39"/>
      <c r="N92" s="77" t="s">
        <v>171</v>
      </c>
    </row>
    <row r="93" spans="1:14" ht="38.25" customHeight="1" thickBot="1">
      <c r="A93" s="133"/>
      <c r="B93" s="61"/>
      <c r="C93" s="61"/>
      <c r="D93" s="62"/>
      <c r="E93" s="63"/>
      <c r="F93" s="40" t="s">
        <v>27</v>
      </c>
      <c r="G93" s="40">
        <f t="shared" ref="G93:L93" si="8">G7+G36+G54+G63+G76+G83+G86</f>
        <v>1301050</v>
      </c>
      <c r="H93" s="94">
        <f t="shared" si="8"/>
        <v>92700</v>
      </c>
      <c r="I93" s="40">
        <f t="shared" si="8"/>
        <v>307640.23633000004</v>
      </c>
      <c r="J93" s="40">
        <f t="shared" si="8"/>
        <v>77761.971409999998</v>
      </c>
      <c r="K93" s="40">
        <f t="shared" si="8"/>
        <v>4312044.569255</v>
      </c>
      <c r="L93" s="40">
        <f t="shared" si="8"/>
        <v>552683.17839140003</v>
      </c>
      <c r="M93" s="63"/>
      <c r="N93" s="94"/>
    </row>
    <row r="94" spans="1:14" s="14" customFormat="1" ht="14.45" customHeight="1">
      <c r="A94" s="19"/>
      <c r="B94" s="18"/>
      <c r="C94" s="18"/>
      <c r="D94" s="19"/>
      <c r="E94" s="19"/>
      <c r="F94" s="19"/>
      <c r="G94" s="97"/>
      <c r="H94" s="19"/>
      <c r="I94" s="19"/>
      <c r="J94" s="19"/>
      <c r="K94" s="97"/>
      <c r="L94" s="19"/>
      <c r="M94" s="19"/>
      <c r="N94" s="13"/>
    </row>
    <row r="95" spans="1:14" s="10" customFormat="1" ht="25.15" customHeight="1">
      <c r="A95" s="203" t="s">
        <v>87</v>
      </c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</row>
    <row r="96" spans="1:14" s="7" customFormat="1" ht="29.25" customHeight="1">
      <c r="A96" s="14" t="s">
        <v>88</v>
      </c>
      <c r="B96" s="16"/>
      <c r="C96" s="16"/>
      <c r="D96" s="14"/>
      <c r="E96" s="14"/>
      <c r="F96" s="14"/>
      <c r="G96" s="5"/>
      <c r="H96" s="14"/>
      <c r="I96" s="177"/>
      <c r="J96" s="14"/>
      <c r="K96" s="98"/>
      <c r="L96" s="14"/>
      <c r="M96" s="14"/>
      <c r="N96" s="17"/>
    </row>
    <row r="97" spans="7:12" ht="8.25" customHeight="1"/>
    <row r="98" spans="7:12" ht="24" customHeight="1">
      <c r="J98" s="2"/>
    </row>
    <row r="99" spans="7:12" ht="27" customHeight="1">
      <c r="G99" s="23"/>
      <c r="H99" s="9"/>
      <c r="I99" s="9"/>
      <c r="J99" s="9"/>
      <c r="K99" s="141"/>
      <c r="L99" s="142"/>
    </row>
    <row r="100" spans="7:12" ht="19.5">
      <c r="G100" s="98"/>
      <c r="H100" s="2"/>
      <c r="I100" s="9"/>
      <c r="J100" s="2"/>
      <c r="K100" s="98"/>
      <c r="L100" s="2"/>
    </row>
    <row r="101" spans="7:12">
      <c r="I101" s="15"/>
    </row>
    <row r="102" spans="7:12" ht="24.75" customHeight="1"/>
  </sheetData>
  <mergeCells count="141">
    <mergeCell ref="A18:A19"/>
    <mergeCell ref="G18:G19"/>
    <mergeCell ref="K18:K19"/>
    <mergeCell ref="N18:N19"/>
    <mergeCell ref="L18:L19"/>
    <mergeCell ref="J18:J19"/>
    <mergeCell ref="I18:I19"/>
    <mergeCell ref="H18:H19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9:B30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29:G30"/>
    <mergeCell ref="H29:H30"/>
    <mergeCell ref="I29:I30"/>
    <mergeCell ref="J29:J30"/>
    <mergeCell ref="J8:J9"/>
    <mergeCell ref="H12:H13"/>
    <mergeCell ref="K29:K30"/>
    <mergeCell ref="K5:L5"/>
    <mergeCell ref="K4:L4"/>
    <mergeCell ref="J12:J13"/>
    <mergeCell ref="I8:I9"/>
    <mergeCell ref="L29:L30"/>
    <mergeCell ref="H10:H11"/>
    <mergeCell ref="H8:H9"/>
    <mergeCell ref="A29:A30"/>
    <mergeCell ref="H56:H57"/>
    <mergeCell ref="B56:B57"/>
    <mergeCell ref="A43:A44"/>
    <mergeCell ref="B43:B44"/>
    <mergeCell ref="C43:C44"/>
    <mergeCell ref="G43:G44"/>
    <mergeCell ref="G56:G57"/>
    <mergeCell ref="N8:N9"/>
    <mergeCell ref="N12:N13"/>
    <mergeCell ref="N29:N30"/>
    <mergeCell ref="M29:M30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C29:C30"/>
    <mergeCell ref="F8:F9"/>
    <mergeCell ref="L8:L9"/>
    <mergeCell ref="L12:L13"/>
    <mergeCell ref="K10:K11"/>
    <mergeCell ref="F29:F30"/>
    <mergeCell ref="A36:F36"/>
    <mergeCell ref="H77:H79"/>
    <mergeCell ref="N40:N41"/>
    <mergeCell ref="F40:F41"/>
    <mergeCell ref="I77:I79"/>
    <mergeCell ref="J77:J79"/>
    <mergeCell ref="K77:K79"/>
    <mergeCell ref="L77:L79"/>
    <mergeCell ref="N77:N79"/>
    <mergeCell ref="N65:N66"/>
    <mergeCell ref="N43:N44"/>
    <mergeCell ref="M40:M41"/>
    <mergeCell ref="G40:G41"/>
    <mergeCell ref="H40:H41"/>
    <mergeCell ref="I56:I57"/>
    <mergeCell ref="K56:K57"/>
    <mergeCell ref="J56:J57"/>
    <mergeCell ref="L43:L44"/>
    <mergeCell ref="I40:I41"/>
    <mergeCell ref="L40:L41"/>
    <mergeCell ref="A77:A79"/>
    <mergeCell ref="B65:B67"/>
    <mergeCell ref="J40:J41"/>
    <mergeCell ref="K40:K41"/>
    <mergeCell ref="A63:F63"/>
    <mergeCell ref="A76:F76"/>
    <mergeCell ref="G77:G79"/>
    <mergeCell ref="B69:B70"/>
    <mergeCell ref="L56:L57"/>
    <mergeCell ref="K43:K44"/>
    <mergeCell ref="J43:J44"/>
    <mergeCell ref="C65:C67"/>
    <mergeCell ref="D65:D67"/>
    <mergeCell ref="E65:E67"/>
    <mergeCell ref="C56:C57"/>
    <mergeCell ref="F56:F57"/>
    <mergeCell ref="C40:C41"/>
    <mergeCell ref="A54:F54"/>
    <mergeCell ref="A40:A41"/>
    <mergeCell ref="B40:B41"/>
    <mergeCell ref="A95:N95"/>
    <mergeCell ref="A56:A57"/>
    <mergeCell ref="I43:I44"/>
    <mergeCell ref="H43:H44"/>
    <mergeCell ref="A83:F83"/>
    <mergeCell ref="A86:F86"/>
    <mergeCell ref="A80:A81"/>
    <mergeCell ref="B80:B81"/>
    <mergeCell ref="C80:C81"/>
    <mergeCell ref="D80:D81"/>
    <mergeCell ref="E80:E81"/>
    <mergeCell ref="F80:F81"/>
    <mergeCell ref="C69:C70"/>
    <mergeCell ref="E69:E70"/>
    <mergeCell ref="N56:N57"/>
  </mergeCells>
  <printOptions horizontalCentered="1"/>
  <pageMargins left="0" right="0" top="7.874015748031496E-2" bottom="3.937007874015748E-2" header="0" footer="0"/>
  <pageSetup paperSize="9" scale="37" fitToHeight="5" orientation="landscape" r:id="rId1"/>
  <headerFooter alignWithMargins="0"/>
  <rowBreaks count="2" manualBreakCount="2">
    <brk id="42" max="13" man="1"/>
    <brk id="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WEB-2019</vt:lpstr>
      <vt:lpstr>'WEB-2019'!Print_Area</vt:lpstr>
      <vt:lpstr>'WEB-2019'!Print_Titles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Anna Rusieshvili</cp:lastModifiedBy>
  <cp:lastPrinted>2019-07-08T10:46:58Z</cp:lastPrinted>
  <dcterms:created xsi:type="dcterms:W3CDTF">2011-04-14T08:42:21Z</dcterms:created>
  <dcterms:modified xsi:type="dcterms:W3CDTF">2019-08-26T10:39:15Z</dcterms:modified>
</cp:coreProperties>
</file>