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nru\Desktop\WEB\"/>
    </mc:Choice>
  </mc:AlternateContent>
  <bookViews>
    <workbookView xWindow="0" yWindow="0" windowWidth="19200" windowHeight="7050" tabRatio="200"/>
  </bookViews>
  <sheets>
    <sheet name="WEB-2020" sheetId="12" r:id="rId1"/>
  </sheets>
  <definedNames>
    <definedName name="_xlnm.Print_Area" localSheetId="0">'WEB-2020'!$A$1:$N$104</definedName>
    <definedName name="_xlnm.Print_Titles" localSheetId="0">'WEB-2020'!$A:$A,'WEB-2020'!$4:$6</definedName>
  </definedNames>
  <calcPr calcId="162913"/>
</workbook>
</file>

<file path=xl/calcChain.xml><?xml version="1.0" encoding="utf-8"?>
<calcChain xmlns="http://schemas.openxmlformats.org/spreadsheetml/2006/main">
  <c r="H56" i="12" l="1"/>
  <c r="J37" i="12"/>
  <c r="I37" i="12"/>
  <c r="H37" i="12"/>
  <c r="G37" i="12"/>
  <c r="J7" i="12"/>
  <c r="I7" i="12"/>
  <c r="H7" i="12"/>
  <c r="G7" i="12"/>
  <c r="K97" i="12" l="1"/>
  <c r="F65" i="12" l="1"/>
  <c r="J56" i="12" l="1"/>
  <c r="I56" i="12" l="1"/>
  <c r="G56" i="12"/>
  <c r="K65" i="12"/>
  <c r="L65" i="12" s="1"/>
  <c r="H89" i="12" l="1"/>
  <c r="G89" i="12" l="1"/>
  <c r="J89" i="12"/>
  <c r="K90" i="12"/>
  <c r="K95" i="12" l="1"/>
  <c r="I89" i="12"/>
  <c r="L92" i="12" l="1"/>
  <c r="K10" i="12" l="1"/>
  <c r="J66" i="12" l="1"/>
  <c r="I66" i="12"/>
  <c r="H66" i="12"/>
  <c r="G66" i="12"/>
  <c r="K99" i="12" l="1"/>
  <c r="K96" i="12"/>
  <c r="K94" i="12"/>
  <c r="K77" i="12" l="1"/>
  <c r="L93" i="12" l="1"/>
  <c r="L89" i="12" s="1"/>
  <c r="K93" i="12"/>
  <c r="K100" i="12"/>
  <c r="L88" i="12"/>
  <c r="L87" i="12"/>
  <c r="K85" i="12"/>
  <c r="K84" i="12"/>
  <c r="K83" i="12"/>
  <c r="L80" i="12"/>
  <c r="K80" i="12"/>
  <c r="K74" i="12"/>
  <c r="K76" i="12"/>
  <c r="K78" i="12"/>
  <c r="K73" i="12"/>
  <c r="K72" i="12"/>
  <c r="K71" i="12"/>
  <c r="L75" i="12"/>
  <c r="K75" i="12"/>
  <c r="K70" i="12"/>
  <c r="K69" i="12"/>
  <c r="L68" i="12"/>
  <c r="L66" i="12" s="1"/>
  <c r="K68" i="12"/>
  <c r="K67" i="12"/>
  <c r="L64" i="12"/>
  <c r="L63" i="12"/>
  <c r="K63" i="12"/>
  <c r="L62" i="12"/>
  <c r="K62" i="12"/>
  <c r="K61" i="12"/>
  <c r="K89" i="12" l="1"/>
  <c r="K66" i="12"/>
  <c r="L61" i="12"/>
  <c r="K60" i="12"/>
  <c r="K58" i="12"/>
  <c r="L57" i="12"/>
  <c r="K57" i="12"/>
  <c r="K56" i="12" s="1"/>
  <c r="K55" i="12"/>
  <c r="L54" i="12"/>
  <c r="K54" i="12"/>
  <c r="K53" i="12"/>
  <c r="K50" i="12"/>
  <c r="K51" i="12"/>
  <c r="K52" i="12"/>
  <c r="K49" i="12"/>
  <c r="K48" i="12"/>
  <c r="L47" i="12"/>
  <c r="K47" i="12"/>
  <c r="K46" i="12"/>
  <c r="K45" i="12"/>
  <c r="K43" i="12"/>
  <c r="K41" i="12"/>
  <c r="L40" i="12"/>
  <c r="K40" i="12"/>
  <c r="K39" i="12"/>
  <c r="L38" i="12"/>
  <c r="K38" i="12"/>
  <c r="K36" i="12"/>
  <c r="K35" i="12"/>
  <c r="K34" i="12"/>
  <c r="K33" i="12"/>
  <c r="K32" i="12"/>
  <c r="K30" i="12"/>
  <c r="K27" i="12"/>
  <c r="K25" i="12"/>
  <c r="K24" i="12"/>
  <c r="K21" i="12"/>
  <c r="K20" i="12"/>
  <c r="K18" i="12"/>
  <c r="L17" i="12"/>
  <c r="L7" i="12" s="1"/>
  <c r="K17" i="12"/>
  <c r="K16" i="12"/>
  <c r="K14" i="12"/>
  <c r="K12" i="12"/>
  <c r="K8" i="12"/>
  <c r="H79" i="12"/>
  <c r="I79" i="12"/>
  <c r="J79" i="12"/>
  <c r="K79" i="12"/>
  <c r="L79" i="12"/>
  <c r="G79" i="12"/>
  <c r="K37" i="12" l="1"/>
  <c r="L37" i="12"/>
  <c r="L56" i="12"/>
  <c r="K7" i="12"/>
  <c r="F61" i="12"/>
  <c r="E61" i="12"/>
  <c r="E41" i="12" l="1"/>
  <c r="E59" i="12" l="1"/>
  <c r="H86" i="12" l="1"/>
  <c r="H101" i="12" s="1"/>
  <c r="I86" i="12"/>
  <c r="I101" i="12" s="1"/>
  <c r="J86" i="12"/>
  <c r="J101" i="12" s="1"/>
  <c r="K86" i="12"/>
  <c r="G86" i="12"/>
  <c r="G101" i="12" s="1"/>
  <c r="K101" i="12" l="1"/>
  <c r="L86" i="12"/>
  <c r="L101" i="12" s="1"/>
  <c r="E58" i="12" l="1"/>
  <c r="E42" i="12"/>
  <c r="E68" i="12" l="1"/>
</calcChain>
</file>

<file path=xl/sharedStrings.xml><?xml version="1.0" encoding="utf-8"?>
<sst xmlns="http://schemas.openxmlformats.org/spreadsheetml/2006/main" count="291" uniqueCount="201">
  <si>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</si>
  <si>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</si>
  <si>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</si>
  <si>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</si>
  <si>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</si>
  <si>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</si>
  <si>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</si>
  <si>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</si>
  <si>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</si>
  <si>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</si>
  <si>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</si>
  <si>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</si>
  <si>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</si>
  <si>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</si>
  <si>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</si>
  <si>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</si>
  <si>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</si>
  <si>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</si>
  <si>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</si>
  <si>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</si>
  <si>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</si>
  <si>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</si>
  <si>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</si>
  <si>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</si>
  <si>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</si>
  <si>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</si>
  <si>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</si>
  <si>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</si>
  <si>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</si>
  <si>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</si>
  <si>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</si>
  <si>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</si>
  <si>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</si>
  <si>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</si>
  <si>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</si>
  <si>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</si>
  <si>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</si>
  <si>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</si>
  <si>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</si>
  <si>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</si>
  <si>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</si>
  <si>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</si>
  <si>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</si>
  <si>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</si>
  <si>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</si>
  <si>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</si>
  <si>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 xml:space="preserve"> სულ ათვისებული თანხა (საკასო) **</t>
  </si>
  <si>
    <t>სოფლის მეურნეობის მოდერნიზაციის, ბაზარზე წვდომისა და მდგრადობის პროექტი (GEF, IFAD)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</si>
  <si>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</si>
  <si>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</si>
  <si>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</si>
  <si>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</si>
  <si>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</si>
  <si>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</si>
  <si>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</si>
  <si>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</si>
  <si>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</si>
  <si>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</si>
  <si>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</si>
  <si>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</si>
  <si>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</si>
  <si>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</si>
  <si>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</si>
  <si>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</si>
  <si>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</si>
  <si>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</si>
  <si>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</si>
  <si>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</si>
  <si>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</si>
  <si>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</si>
  <si>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</si>
  <si>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</si>
  <si>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</si>
  <si>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</si>
  <si>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</si>
  <si>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</si>
  <si>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</si>
  <si>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</si>
  <si>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</si>
  <si>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</si>
  <si>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საქართველოს შეიარაღებული ძალების შესაძლებლობების გაძლიერება (მიმდინარეობს)</t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</si>
  <si>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</si>
  <si>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</si>
  <si>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</si>
  <si>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</si>
  <si>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</si>
  <si>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</si>
  <si>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</si>
  <si>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</si>
  <si>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ქუთაისის წყალარინების პროექტი (EIB, EPTATF)</t>
  </si>
  <si>
    <t>04,12,2017</t>
  </si>
  <si>
    <t>31,12,2023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</si>
  <si>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</si>
  <si>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</si>
  <si>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</si>
  <si>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</si>
  <si>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</si>
  <si>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</si>
  <si>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კახეთის ინფრასტრუქტურის გაძლიერება (KfW) </t>
  </si>
  <si>
    <t>ხელედულა-ლაჯანური-ონი (KfW)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</si>
  <si>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</si>
  <si>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</si>
  <si>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</si>
  <si>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</si>
  <si>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</si>
  <si>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</si>
  <si>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</si>
  <si>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</si>
  <si>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</si>
  <si>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>ქ. ქობულეთში კანალიზაციის გამწმენდი ნაგებობის მშენებლობა (მიმდინარეობს).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</si>
  <si>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</si>
  <si>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</si>
  <si>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</si>
  <si>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</si>
  <si>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</si>
  <si>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</si>
  <si>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</si>
  <si>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</si>
  <si>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</si>
  <si>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</si>
  <si>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</si>
  <si>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 xml:space="preserve">ავტობუსების (დიზელის და ელექტრო) შეძენა. დიზელის 40 ერთეული 
ავტობუსი შემოსულია საქართველოში; ელექტრო ავტობუსების შეძენა (დაგეგმილი). </t>
  </si>
  <si>
    <t>30.09.2021</t>
  </si>
  <si>
    <t>დაგეგმილი</t>
  </si>
  <si>
    <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შეძენა);
 - არსებული მყარი ნარჩენების გადატვირთვის სადგურის განახლება;
  -თბილისის მყარი ნარჩენების ნაგავსაყრელზე ნაჟური წყლის</t>
    </r>
    <r>
      <rPr>
        <sz val="12"/>
        <color theme="1"/>
        <rFont val="Franklin Gothic Book"/>
        <family val="2"/>
        <scheme val="minor"/>
      </rPr>
      <t xml:space="preserve">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rFont val="Franklin Gothic Book"/>
        <family val="2"/>
        <scheme val="minor"/>
      </rPr>
      <t xml:space="preserve">  სისტემის რეაბილიტაცია და გაუმჯობესება.</t>
    </r>
  </si>
  <si>
    <t>ჭიათურის საბაგირო გზების რეკონსტრუქცია-რეაბილიტაციის პროექტი (საფრანგეთი)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</si>
  <si>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</t>
  </si>
  <si>
    <t>28.02.2020</t>
  </si>
  <si>
    <t>საჯარო შენობებში  ენერგოეფექტურობის  ღონისძიებების განხორციელება (ადმინისტრაციულ და საგანმანათლებლო შენობებში განახლებადი და ალტერნატიული ენერგიის წყაროების დანერგვა)  (მიმდინარეობს მოსამზადებელი სამუშაოები).</t>
  </si>
  <si>
    <t xml:space="preserve">ზუგდიდში (არსებული ნაგავსაყრელის ბაზაზე) და გურჯანში (სოფელ მელაანში) რეგიონული მუნიციპალური ნაგავსაყრელის მოწყობა  რომელიც მოემსახურება  სამეგრელო-ზემო სვანეთის და კახეთის რეგიონებს (მიმდინარეობს მოსამზადებელი სამუშაოები). </t>
  </si>
  <si>
    <t xml:space="preserve"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 </t>
  </si>
  <si>
    <t>30.04.2021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</si>
  <si>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   (მიმდინარეობს სატენდერო პროცედურები რუსთავი-წითელი ხიდის (ლოტი 1 და ლოტი 2) მონაკვეთის სამშენებლო სამუშაოებზე ზედამხედველის შესარჩევად).</t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</si>
  <si>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მხარდაჭერა;
 - ინდივიდუალური პირებისა და ფირმების ინოვაციური შესაძლებლობების განვითარება.</t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</si>
  <si>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(მიმდინარეობს სამშენებლო სამუშაოები).</t>
  </si>
  <si>
    <t xml:space="preserve"> გრიგოლეთი-ქობულეთის შემოვლითი გზის მონაკვეთის მშენებლობა (მიმდინარეობს სამშენებლო სამუშაოები).</t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</si>
  <si>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(მიმდინარეობს სამშენებლო სამუშაოები).</t>
  </si>
  <si>
    <t>მდინარე რიონზე ფოთის ხიდის მშენებლობა (ADB)</t>
  </si>
  <si>
    <t>ჩრდილოეთის რგოლი (EBRD), ნამახვანი - წყალტუბო - ლაჯანური(EBRD)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</si>
  <si>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
- ბათუმი-სარფის მონაკვეთზე მიმდინარეობს  დეტალური პროექტის მომზადების სამუშაოები.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</si>
  <si>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 პროექტი დაიხურა 2019 წლის 30 ივნისს.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</si>
  <si>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(ADB, EBRD )</t>
  </si>
  <si>
    <t xml:space="preserve">თბილისი-ბაკურციხე-ლაგოდეხის საავტომობილო გზის კმ20-კმ50 ლოჭინი-საგარეჯოს მონაკვეთის მშენებლობა </t>
  </si>
  <si>
    <r>
      <t>მცხეთა-სტე</t>
    </r>
    <r>
      <rPr>
        <sz val="12"/>
        <rFont val="Franklin Gothic Book"/>
        <family val="2"/>
        <scheme val="minor"/>
      </rPr>
      <t>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 ( მიმდინარეობს მოსამზადებელი სამუშაოები).</t>
    </r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</si>
  <si>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(მიმდინარეობს დაფინანსების წყაროს მოძიება).</t>
  </si>
  <si>
    <t>2020 წლის ბიუჯეტით დამტკიცებული თანხა</t>
  </si>
  <si>
    <t>2020 წლის განმავლობაში ათვისებული თანხა (საკასო) **</t>
  </si>
  <si>
    <t>თბილისი-სენაკი-ლესელიძის საავტომობილო გზის უბისა შორაპანის მონაკვეთის რეკონსტრუქცია-მშენებლობა  (EIB)</t>
  </si>
  <si>
    <t>თბილისი-სენაკი-ლესელიძის საავტომობილო გზის შორაპანი არგვეთას მონაკვეთის რეკონსტრუქცია-მშენებლობა (ADB)</t>
  </si>
  <si>
    <t>რეგიონალური და მუნიციპალური ინფრასტრუქტურის განვითარების პროექტი II (WB, SDC)</t>
  </si>
  <si>
    <t>საცხოვრებლად ვარგისი ქალაქების საინვესტიციო პროგრამა (ADB)</t>
  </si>
  <si>
    <t>ურბანული ტრანსპორტის განვითარების პროგრამა (EBRD)</t>
  </si>
  <si>
    <t>ბაკურიანის მუნიციპალური სერვისების გაუმჯობესების პროგრამა (EBRD)</t>
  </si>
  <si>
    <t>მერძევეობის დარგის მოდერნიზაციის და ბაზარზე წვდომის პროგრამა (DiMMA) (IFAD)</t>
  </si>
  <si>
    <t>ინოვაციის, ინკლუზიურობის და ხარისხის პროექტი - საქართველო I2Q (IBRD)</t>
  </si>
  <si>
    <t>პროფესიული განათლება I (KfW)</t>
  </si>
  <si>
    <t>.</t>
  </si>
  <si>
    <t xml:space="preserve">რესურსით ძირითადად დაფინანსდება „საცხოვრებლად ვარგისი ქალაქების საინვესტიციო პროგრამი“-ს ფარგლებში დაგეგმილი პროექტების მოსამზადებელი ღონისძიებები (პროექტების ტექნიკურ-ეკონომიკური კვლევის ჩატარება, სოციალური და გარემოსდაცვითი გარემოებების დეტალური შესწავლა,  საპროექტო და სატენდერო დოკუმენტაციის მომზადება და სხვა). </t>
  </si>
  <si>
    <t xml:space="preserve">დაბა ბაკურიანში მომსახურების ხარისხისა და უსაფრთხოების ზომების გაუმჯობესებისთვის, სპეციალური ტექნიკის შესყიდვა. </t>
  </si>
  <si>
    <t>შოთა რუსთაველის ეროვნული სამეცნიერო ფონდის მეშვეობით შერჩეული მეცნიერებისთვის გამოყენებითი კვლევითი გრანტების უზრუნველყოფა;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</si>
  <si>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(დასრულდა).</t>
  </si>
  <si>
    <t>გამოყენებითი კვლევების საგრანტო პროგრამა (ინოვაციური ეკოსისტემის განვითარება (IBRD)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</si>
  <si>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(მიმდინარეობს)
  -   ენგურის ჰიდროელექტროსადგურის რეაბილიტაციის დასრულების ხელშეწყობა, მათ შორი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 (მიმდინარეობს)
 -  კლიმატური პიროპებისადმი მდგრადობის გაუმჯობესების უზრუნველყოფა.(მიმდინარეობს)</t>
  </si>
  <si>
    <t>250 მგვარ სიმძლავრის რეგულირებადი რეაქტორის მშენებლობა - ,,ქ/ს ზესტაფონი 500-ში“ (დასრულდა).</t>
  </si>
  <si>
    <t xml:space="preserve"> - ახალი 500/220 კვ ქვესადგურის მშენებლობა ჯვარში (დასრულდა);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(დასრულდა).</t>
  </si>
  <si>
    <t>ელექტროენერგიის სექტორის სტრატეგიული გარემოსდაცვითი ზემოქმედების შეფასება (დასრულდა)</t>
  </si>
  <si>
    <t>საქართველოს 6 ქალაქისთვის (გორი, ქუთაისი, ფოთი,რუსთავი,თელავი და ზუგდიდი) 175 ერთეული ახალი ავტობუსის შეძენა და მოძველებული მუნიციპალური  ტრანსპორტის რეაბილიტაცია.</t>
  </si>
  <si>
    <t xml:space="preserve"> სკოლამდელ განათლებაზე წვდომის გაფართოება და  განათლებისა და სასწავლო გარემოს ხარისხის გაუმჯობესება.  </t>
  </si>
  <si>
    <t xml:space="preserve"> პროფესიული კოლეჯის „ექსელენს ცენტრი“-ს მშენებლობა მათ შორის, საკლასო ოთახებისა და სახელოსნოების აღჭურვა და უკვე არსებულ პროფესიულ კოლეჯებში მცირე ინვესტიციების განხორციელება.</t>
  </si>
  <si>
    <t>ბათუმი (ანგისა) - ახალციხის  შიდასახელმწიფოებრივი გზის ხულო-ზარზმას მონაკვეთის რეაბილიტაცია - რეკონსტრუქციის ხელშეკრულებები შეწყდა. ხელახლა გამოცხადებული ტენდერის ფარგლებში სატენდერო წინადადებები გაიხსნა  2020 წლის 10 აპრილს. მიმდინარეობს წარმოდგენილი წინადადების შეფასება.</t>
  </si>
  <si>
    <t>ქობულეთის ახალი შემოვლითი გზის მშენებლობა (დაახლოებით 32 კმ სიგრძე) (პირველი მონაკვეთი (12+400 - კმ 31+259) გახსნილია, სამშენებლო სამუშაოები დასრულდა მეორე მონაკვეთზე (18 კმ), მოძრაობა გახსნილია).
- ხევი-არგვეთას მონაკვეთზე დასრულდა დეტალური პროექტის მომზადების სამუშაოები.
- თბილისის შემოსავლელი და ნატახტარი-ჟინვალის მონაკვეთზე მიმდინარეობს დეტალური პროექტის მომზადების სამუშაოები. პროგრამის დასრულების გამო, შეიცვალა აღნიშნული ხელშეკრულების დაფინანსების წყარო. ხელშეკრულება გადავიდა  ხევი-უბისას მონაკვეთის მშენებლობის პროექტში.</t>
  </si>
  <si>
    <r>
      <t xml:space="preserve"> - ზესტაფონი - ქუთაისის ახალი შემოვლითი გზის მშ</t>
    </r>
    <r>
      <rPr>
        <sz val="12"/>
        <color theme="1"/>
        <rFont val="Franklin Gothic Book"/>
        <family val="2"/>
        <scheme val="minor"/>
      </rPr>
      <t xml:space="preserve">ენებლობა (15.2 კმ)  დასრულდა. გზის მონაკვეთი გახსნილია მოძრაობისთვის); </t>
    </r>
    <r>
      <rPr>
        <sz val="12"/>
        <rFont val="Franklin Gothic Book"/>
        <family val="2"/>
        <scheme val="minor"/>
      </rPr>
      <t xml:space="preserve">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  </r>
  </si>
  <si>
    <r>
      <t>მდინარე რიონზ</t>
    </r>
    <r>
      <rPr>
        <sz val="12"/>
        <color theme="1"/>
        <rFont val="Franklin Gothic Book"/>
        <family val="2"/>
        <scheme val="minor"/>
      </rPr>
      <t>ე ფოთის ხიდის  და მისასვლელი გზების მშენებლობის ტენდერზე მიმდინარეობს სატენდერო წინადადების შეფასება.</t>
    </r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</si>
  <si>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 (მიმდინარეობს დეტალური პროექტირების სამუშაოები).  (მიმდინარეობს დეტალური პროექტირების სამუშაოები).</t>
  </si>
  <si>
    <t xml:space="preserve"> - ყაზბეგის,  კინტრიშის,  ალგეთის დაცული ტერიტორიების ადმინისტრაციების და ვიზიტორთა ცენტრების მშენებლობა დასრულებულია;
-  ყაზბეგის,  კინტრიშის,  ალგეთის და ფშავ-ხევსურეთის ეკო-ტურიზმის სტრატეგიები შემუშავებულია;
-  ყაზბეგის,  კინტრიშის,  ალგეთის და ფშავ-ხევსურეთის მენეჯმენტის გეგმები შემუშავებულია, მომზადებულია დასამტკიცებლად;
-  ფშავ-ხევსურეთის ადმინისტრაციის და ვიზიტორთა ცენტრის მშენებლობა მიმდინარეობს; 
-  მანგლისის როშის პარკის რეაბილიტაცია სრულდება;
- ფშავ-ხევსურეთის დემარკაცია დასრულდა;
-  ყაზბეგის,  კინტრიშის,  ალგეთის და ფშავ-ხევსურეთის ფიზიკური დემარკაცია დასრულდა;
- პრომეთეს მღვიმის საგამოფენო სივრცის რეაბილიტაცია სრულად განხორციელდა;
- მანგლისში, ალგეთის ეროვნულ პარკში მოეწყო თოკების პარკი;</t>
  </si>
  <si>
    <t xml:space="preserve">თბილისი-სენაკი-ლესელიძის საავტომობილო გზის ხევი უბისას მონაკვეთის რეკონსტრუქცია - მშენებლობა (მიმდინარეობს სამშენებლო სამუშაოები).
თბილისის შემოსავლელი და ნატახტარი-ჟინვალის მონაკვეთზე მიმდინარეობს დეტალური პროექტის მომზადების სამუშაოები. 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</si>
  <si>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</t>
  </si>
  <si>
    <t>ეკონომიკური მონაწილეობა, საცხოვრებლით უზრუნველყოფა და სოციალური ინფრასტრუქტურა იძულებით გადაადგილებულ პირთა და მასპინძელი თემებისათვის (KfW)</t>
  </si>
  <si>
    <r>
      <t>ხელშეკრულების ხელმოწერის თარიღი</t>
    </r>
    <r>
      <rPr>
        <b/>
        <sz val="12"/>
        <color theme="1"/>
        <rFont val="Calibri"/>
        <family val="2"/>
      </rPr>
      <t>*</t>
    </r>
  </si>
  <si>
    <t>31.10.2020</t>
  </si>
  <si>
    <r>
  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 7 კილომეტრიან მონაკვეთზე; დ</t>
    </r>
    <r>
      <rPr>
        <sz val="12"/>
        <rFont val="Franklin Gothic Book"/>
        <family val="2"/>
        <scheme val="minor"/>
      </rPr>
      <t>არჩენილ 5კმ-ზე მოძრაობა გაიხსნება მას შემდეგ, რაც დასრულდება მონაკვეთის - ზემო ოსიაური-ჩუმათელეთის I ლოტის მშენებლობა);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</t>
    </r>
    <r>
      <rPr>
        <sz val="12"/>
        <color theme="1"/>
        <rFont val="Franklin Gothic Book"/>
        <family val="2"/>
        <scheme val="minor"/>
      </rPr>
      <t>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
 - ჩუმათელეთი-ხევის, ჟინვალი-ლარსის და სამტრედია-ზუგდიდი-ანაკლიის მონაკვეთებზე დეტალური პროექტის მომზადების სამუშაოები დასრულდა
 - რუსთავი-წითელი ხიდი-სადახლოს მონაკვეთზე დასრულდა დეტალური პროექტის მომზადების სამუშაოები.
- თბილისი-ლაგოდეხის მონაკვეთებზე მიმდინარეობს დეტალური პროექტის მომზადების სამუშაოები.</t>
    </r>
  </si>
  <si>
    <t>ალგეთი-სადახლოს საავტომობილო გზის მშენებლობა-მოდერნიზაცია   (დაგეგმილი). (მიმდინარეობს სატენდერო პროცედურები ალგეთი - სადახლოს მონაკვეთის სამშენებლო სამუშაოებზე ზედამხედველის შესარჩევად).</t>
  </si>
  <si>
    <r>
      <t>საქართველოს სხვადას</t>
    </r>
    <r>
      <rPr>
        <sz val="12"/>
        <rFont val="Franklin Gothic Book"/>
        <family val="2"/>
        <scheme val="minor"/>
      </rPr>
      <t>ხვა რეგიონში (დაახლოებით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დასრულდა სარეაბილიტაციო სამუშაოები დამატებით 12 გზის (მთლიანობაში დაახლოებით 80 კმ) მონაკვეთზე);</t>
    </r>
    <r>
      <rPr>
        <sz val="12"/>
        <color theme="1"/>
        <rFont val="Franklin Gothic Book"/>
        <family val="2"/>
        <scheme val="minor"/>
      </rPr>
      <t xml:space="preserve">
- ბაკურციხე-წნორი და გურჯაანი-თელავის მონაკვეთი (დასრულდა დეტალური პროექტის მომზადება).  
- გურჯაანის შემოვლითი გზის 15,5 კმ-იანი მონაკვეთიდან  დასრულებულია 6 კმ გზის მონაკვეთი, ასევე დასრულდა 7 ხიდიდან 6 ხიდის მშენებლობა, მიმდინარეობს მიწის სამუშოები და ხელოვნური ნაგებობების მოწყობა.</t>
    </r>
  </si>
  <si>
    <r>
      <t xml:space="preserve">
</t>
    </r>
    <r>
      <rPr>
        <sz val="12"/>
        <rFont val="Franklin Gothic Book"/>
        <family val="2"/>
        <scheme val="minor"/>
      </rPr>
      <t xml:space="preserve">
- იძულებით გადაადგილებული ოჯახების საკუთრებაში არსებულ მიწის ნაკვეთებზე საქართველოში სულ 236 სახლი აშენდება. იქმნება მარნეულში სოფლის  ტიპის დასახლება იძულებით გადაადგილებული ოჯახებისთვის;
- 24 მცირე მასშტაბის ინფრასტრუქტურული პროექტი განხორციელდება იმ დასახლებების მახლობლად, სადაც ცხოვრობენ იძულებით გადაადგილებული პირები. აშენდება რვა ახალი საბავშვო ბაღი და განახლდება ორი სკოლამდელი აღზრდის დაწესებულება;
- სულ გაიცემა 236 გრანტი, რათა შემოსავლის წყარო მიეცეს ახალ საცხოვრებელ ზონაში გადაადგილებულ ოჯახებს;
- გაიცემა 130 ბიზნეს გრანტი მცირე და საშუალო საწარმოებისთვის, იძულებით გადაადგილებულ პირთა სამუშაო ადგილების შესაქმნელად. იძულებით გადაადგილებული 260-მდე ახალგაზრდა გაივლის პროფესიული კვალიფიკაციის კურსებს. ასევე, დასავლეთ საქართველოში აშენდება საგანმანათლებლო ცენტრები იძულებით გადაადგილებულ პირთა პროფესიული განათლებისა და უნარების გასაუმჯობესებლად.</t>
    </r>
    <r>
      <rPr>
        <sz val="12"/>
        <color rgb="FFFF0000"/>
        <rFont val="Franklin Gothic Book"/>
        <family val="2"/>
        <scheme val="minor"/>
      </rPr>
      <t xml:space="preserve">
</t>
    </r>
  </si>
  <si>
    <t xml:space="preserve">    </t>
  </si>
  <si>
    <t>COVID-19-თან დაკავშირებული ჯანდაცვის სფეროს  ღონისძიებების დაფინანსება (EIB)</t>
  </si>
  <si>
    <t>თბილისის მეტროს პროექტი (EBRD)</t>
  </si>
  <si>
    <t>აჭარის სოფლების წყალმომარაგებისა და წყალარინების პროგრამა, საქართველო (EU-NIF, KfW)</t>
  </si>
  <si>
    <t>თბილისის მეტროს ვაგონების შეძენა; მეტროს დეპოსა და გვირაბის რეაბილიტაცია.</t>
  </si>
  <si>
    <t>პროექტი ითვალისწინებს აჭარის ავტონომიური რესპუბლიკის ხულოს, ქედას და შუახევის, ხელვაჩაურის და ქობულეთის მუნიციპალიტეტების სოფლებში წყალმომარაგებისა და წყალარინების სისტემების რეაბილიტაციას. ამ ეტაპზე მიმდინარეობს დაგეგმვითი სამუშაოები.</t>
  </si>
  <si>
    <r>
      <t xml:space="preserve">  - სამტრედია - გრიგოლეთის მონაკვეთზე (დაახლოები</t>
    </r>
    <r>
      <rPr>
        <sz val="12"/>
        <color theme="1"/>
        <rFont val="Franklin Gothic Book"/>
        <family val="2"/>
        <scheme val="minor"/>
      </rPr>
      <t>თ 50 კმ</t>
    </r>
    <r>
      <rPr>
        <sz val="12"/>
        <rFont val="Franklin Gothic Book"/>
        <family val="2"/>
        <scheme val="minor"/>
      </rPr>
      <t>) ახალი ოთხზოლიანი ავტომაგისტრალის მშენებლობა (სამშენებლო სამუშაოები მიმდინარეობს I და IV ლოტის ფარგლებში;  ლოტი 2-ზე დასრულდა სამშენებლო სამუშაოები და გახსნილია მოძრაობა;  ლოტი III - მიმდინარეობს წინასაკვალიფიკაციო ეტაპზე წარმოდგენილი წინადადებების შეფასება);
-   ლოტი I კონტრაქტორ ორგანიზაციასთან შეწყდა ხელშეკრულება და  დარჩენილ სამუშაოებზე ხელშეკრულება გაფორმდა   2018 წლის 13 ნოემბერს. სამუშაოების დასრულების ვადაა 2020 წლის 03 დეკემბერი;
- ლოტი II  ხელშეკრულება გაფორმდა  2015 წლის 13 ნოემბერს. (სამუშაოები დასრულდა, გახსნილია მოძრაობა)   
- ლოტი IV  ხელშეკრულება გაფორმდა 2014 წლის 24 დეკემბერს.  სამუშაოების დასრულება იგეგმება 2020 წლის ბოლოსთვის;
 - ფოთი-გრიგოლეთის მონაკვეთი (დეტალური პროექტის მომზადების სამუშაოები დასრულდა).</t>
    </r>
  </si>
  <si>
    <r>
      <t xml:space="preserve">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</t>
    </r>
    <r>
      <rPr>
        <sz val="12"/>
        <rFont val="Franklin Gothic Book"/>
        <family val="2"/>
        <scheme val="minor"/>
      </rPr>
      <t xml:space="preserve"> (მიმდინარეობს სამშენებლო სამუშაოები).</t>
    </r>
  </si>
  <si>
    <r>
      <t>თბილისი-სენაკი-ლესელიძის საავტომობილო გზის შორაპანი-არგვეთას მონაკვეთის რეკონსტრუქცია-მშენებლობა. ხელშეკრულება გაფორმდა 2020 წლის 1</t>
    </r>
    <r>
      <rPr>
        <sz val="12"/>
        <rFont val="Franklin Gothic Book"/>
        <family val="2"/>
        <scheme val="minor"/>
      </rPr>
      <t>6 იანვარს. (მიმდინარეობს მოსამზადებელი სამუშაოები)</t>
    </r>
  </si>
  <si>
    <r>
      <rPr>
        <sz val="11"/>
        <color theme="1"/>
        <rFont val="Franklin Gothic Book"/>
        <family val="2"/>
        <scheme val="minor"/>
      </rPr>
      <t xml:space="preserve">
- მესტიაში წყალმომარაგების სათავე ნაგებობის მშენებლობა (დასრულდა); 
- მესტიის წყალმომარაგებისა და კანალიზაციის ქსელების მშენებლობა - რეაბილიტაცია (დასრულდა); 
- მესტიის წყლის გამწმენდი ნაგებობის, ახალი </t>
    </r>
    <r>
      <rPr>
        <sz val="11"/>
        <rFont val="Franklin Gothic Book"/>
        <family val="2"/>
        <scheme val="minor"/>
      </rPr>
      <t>რეზერვუარების მშენებლობა და არსებული რეზერვუარის რეაბილიტაცია (მშენებლობა დასრულდა; ჩაინიშნა საბოლოო ტესტირების დღე); 
- მესტიის წყალარინების გამწმენდი ნაგებობის პროექტირება-მშენებლობა რეაბილიტაცია (მიმდინარეობას საპროექტო სამუშაოები);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(დასრულდა); 
- ანაკლიის კანალიზაციის გამწმენდი ნაგებობის მშენებლობა (მიმდინარეობს მოვლა-შენახვის პროცედურები);
- ქუთაისში წყალმომარაგების სისტემების (რეზერვუარები, სატუმბი სადგურები, წყლის გამანაწილებელი ქსელი) მშენებლობა- რეაბილიტაცია  (დაწყებულია მიღება-ჩაბარების პროცედურები);
- ფოთში წყალმომარაგების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სამშენებლო სამუშაოები);
- ურეკში წყალმომარაგებისა და კანალიზაციის სისტემების მშენებლობა (დასრულდა; მიმდინარეობს საგარანტიო პერიოდი);
- ურეკში კანალიზაციის გამწმენდი ნაგებობის მშენებლობა (დასრულდა; მიმდინარეობს ტესტირების პროცესები);
- ზუგდიდში წყალმომარაგების სისტემის მშენებლობა-რეაბილიტაცია (მიმდინარეობს სამშენებლო სამუშაოები);
- ზუგდიდში კანალიზაციის სისტემის მშენებლობა-რეაბილიტაცია (მიმდინარეობს სამშენებლო სამუშაოები);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(მიმდინარეობს მიღება-ჩაბარების პროცედურები);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სამშენებლო სამუშაოები);
- მარნეულის წყალარინების გამწმენდი ნაგებობის პროექტირება-მშენებლობა (მიმდინარეობს საპროექტო სამუშაოები  და დაიწყო მობილიზაცია);
- აბაშის მაგისტრალური ხაზის მშენებლობა (მიმდინარეობს სამშენებლო სამუშაოები);
- თელავის წყალმომარაგების სისტემის მშენებლობა (მიმდინარეობს სატენდერო დოკუმენტაციის მომზადება);
- გუდაურის წყლისა და წყალარინების სისტემების მშენებლობა (მიმდინარეობს სამშენებლო სამუშაოები); 
- გუდაურის წყალარინების გამწმენდი ნაგებობების მშენებლობა (მიმდინარეობს საპროექტო სამუშაოები).</t>
    </r>
    <r>
      <rPr>
        <sz val="12"/>
        <rFont val="Franklin Gothic Book"/>
        <family val="2"/>
        <scheme val="minor"/>
      </rPr>
      <t xml:space="preserve">
</t>
    </r>
    <r>
      <rPr>
        <sz val="11"/>
        <color theme="1"/>
        <rFont val="Franklin Gothic Book"/>
        <family val="2"/>
        <scheme val="minor"/>
      </rPr>
      <t xml:space="preserve">
</t>
    </r>
  </si>
  <si>
    <t>სამედიცინო დაწესებულებების რეაბილიტაცია/აღჭურვა და მათი  მრავალპროფილური ჰოსპიტლის ფუნქციური ჩამოყალიბება.</t>
  </si>
  <si>
    <t>2020 წლის  31  ივლისის  მდგომარეობით (ათას ერთეულში)</t>
  </si>
  <si>
    <r>
      <t xml:space="preserve">
</t>
    </r>
    <r>
      <rPr>
        <b/>
        <sz val="12"/>
        <color theme="1"/>
        <rFont val="Franklin Gothic Book"/>
        <family val="2"/>
        <scheme val="minor"/>
      </rPr>
      <t xml:space="preserve">საქართველოს სხვადასხვა რეგიონში მცირემიწიან ფერმერთა შემოსავლების ზრდის მხარდაჭერა და სოფლის </t>
    </r>
    <r>
      <rPr>
        <b/>
        <sz val="12"/>
        <rFont val="Franklin Gothic Book"/>
        <family val="2"/>
        <scheme val="minor"/>
      </rPr>
      <t>მეურნეობის პროდუქციის წარმოება/გადამუშავება/რეალიზაციის კუთხით ინვესტიციების ხელშეწყობა</t>
    </r>
    <r>
      <rPr>
        <sz val="12"/>
        <rFont val="Franklin Gothic Book"/>
        <family val="2"/>
        <scheme val="minor"/>
      </rPr>
      <t xml:space="preserve">
- მიმდინარეობს ტირიფონის სარწყავი სისტემის გ-3-2-1 გამანაწილებლის (გორის მუნიციპალიტეტი) შიდა ქსელის  რეაბილიტაციის სამუშაოები;</t>
    </r>
    <r>
      <rPr>
        <sz val="12"/>
        <color theme="1"/>
        <rFont val="Franklin Gothic Book"/>
        <family val="2"/>
        <scheme val="minor"/>
      </rPr>
      <t xml:space="preserve">
-</t>
    </r>
    <r>
      <rPr>
        <sz val="12"/>
        <rFont val="Franklin Gothic Book"/>
        <family val="2"/>
        <scheme val="minor"/>
      </rPr>
      <t xml:space="preserve"> მიმდინარეობს ტირიფონის სარწყავი სისტემის გ-3 გამანაწილებლის (გორის მუნიციპალიტეტი) შიდა ქსელის  რეაბილიტაცია.</t>
    </r>
    <r>
      <rPr>
        <sz val="12"/>
        <color theme="1"/>
        <rFont val="Franklin Gothic Book"/>
        <family val="2"/>
        <scheme val="minor"/>
      </rPr>
      <t xml:space="preserve">
</t>
    </r>
  </si>
  <si>
    <t>თბილისის ავტობუსების პროექტი (ფაზა II) (EBRD)</t>
  </si>
  <si>
    <r>
  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(I ლოტზე მიმდინარეობს სამშენებლო სამუშაოები; II  ლოტზე ხელშეკრულება შეწყდა,  საიდანაც  1.9 კმ მონაკვეთზე (კმ-5+800-კმ7+700) ხელშეკრულება გაფორმდა I ლოტის კონტრაქტორ ორგანიზაციასთან -სინოჰიდროსთან. კმ0-კმ7.7-ის დასრულება დაგეგმილია 2020 </t>
    </r>
    <r>
      <rPr>
        <sz val="12"/>
        <color theme="1"/>
        <rFont val="Franklin Gothic Book"/>
        <family val="2"/>
        <scheme val="minor"/>
      </rPr>
      <t>წლის აგვისტოს</t>
    </r>
    <r>
      <rPr>
        <sz val="12"/>
        <rFont val="Franklin Gothic Book"/>
        <family val="2"/>
        <scheme val="minor"/>
      </rPr>
      <t xml:space="preserve"> ბოლოს,</t>
    </r>
    <r>
      <rPr>
        <sz val="12"/>
        <color theme="1"/>
        <rFont val="Franklin Gothic Book"/>
        <family val="2"/>
        <scheme val="minor"/>
      </rPr>
      <t xml:space="preserve"> II ლოტის დარჩენილ მონაკვეთზე (კმ7.7-კმ14.06) სატენდერო წინადადებები გაიხსნა 2020 წლის  1 აპრილს. მიმდინარეობს წარმოდგენილი  წინადადებების შეფასება.
 - საავტომობილო გზების დეპარტამენტის ინსტიტუციონალური განვითარება (მიმდინარე);</t>
    </r>
    <r>
      <rPr>
        <sz val="12"/>
        <rFont val="Franklin Gothic Book"/>
        <family val="2"/>
        <scheme val="minor"/>
      </rPr>
      <t xml:space="preserve">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</t>
    </r>
    <r>
      <rPr>
        <sz val="12"/>
        <color theme="1"/>
        <rFont val="Franklin Gothic Book"/>
        <family val="2"/>
        <scheme val="minor"/>
      </rPr>
      <t>(მიმდინარე</t>
    </r>
    <r>
      <rPr>
        <sz val="12"/>
        <rFont val="Franklin Gothic Book"/>
        <family val="2"/>
        <scheme val="minor"/>
      </rPr>
      <t>).</t>
    </r>
  </si>
  <si>
    <r>
      <t xml:space="preserve">   - გურიის რეგიონში შერჩეული შიდასახელმწიფოებრივი გზების მონაკვეთების რეაბილიტაცია(დაგეგმილი);
</t>
    </r>
    <r>
      <rPr>
        <sz val="12"/>
        <color theme="1"/>
        <rFont val="Franklin Gothic Book"/>
        <family val="2"/>
        <scheme val="minor"/>
      </rPr>
      <t xml:space="preserve">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(სარეაბილიტაციო სამუშაოები დასრულდა ორ მონაკვეთზე; ხელშეკრულება შეწყდა ჟინვალი-ბარისახოს მონაკვეთის I და II ლოტზე.  ხელახლა გამოცხადებული ტენდერის ფარგლებში  სატენდერო წინადადებები გაიხსნა 2020 წლის 3 აპრილს. ტენდერში გამარჯვებული კომპანიები გამოვლენილია, ხელშეკრულებები გაფორმებულია ორივე ლოტზე. მიმდინარეობს სამუშაოები.</t>
    </r>
    <r>
      <rPr>
        <sz val="12"/>
        <rFont val="Franklin Gothic Book"/>
        <family val="2"/>
        <scheme val="minor"/>
      </rPr>
      <t xml:space="preserve">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  </r>
  </si>
  <si>
    <r>
      <t xml:space="preserve"> 
- მერძევეობის პროდუქციის წარმოება/გადამუშავება/რეალიზაციის ჯაჭვის (Value Chain) განვითარება და ამ სექტორში ინ</t>
    </r>
    <r>
      <rPr>
        <sz val="12"/>
        <rFont val="Franklin Gothic Book"/>
        <family val="2"/>
        <scheme val="minor"/>
      </rPr>
      <t xml:space="preserve">ოვაციების ხელშეწყობა. ინსტიტუციონალური და ორგანიზაციული განვითარება; პროგრამა განხორციელდება სამ  რეგიონში: იმერეთში, სამეგრელო-ზემო სვანეთში და სამცხე ჯავახეთში.
კომპონენტი 1 - მერძევეობის ღირებულებათა ჯაჭვის განვითარება:
</t>
    </r>
    <r>
      <rPr>
        <sz val="12"/>
        <color theme="1"/>
        <rFont val="Franklin Gothic Book"/>
        <family val="2"/>
        <scheme val="minor"/>
      </rPr>
      <t>-   მიმდინარეობს შემოსული საგრანტო განაცხადების დამუშავება და პოტენციური დასაფინანსებელი განაცხადების ვალიდაცია</t>
    </r>
    <r>
      <rPr>
        <sz val="12"/>
        <rFont val="Franklin Gothic Book"/>
        <family val="2"/>
        <scheme val="minor"/>
      </rPr>
      <t xml:space="preserve">; </t>
    </r>
    <r>
      <rPr>
        <sz val="12"/>
        <color theme="1"/>
        <rFont val="Franklin Gothic Book"/>
        <family val="2"/>
        <scheme val="minor"/>
      </rPr>
      <t xml:space="preserve">
-  მიმდინარეობს მოლაპარაკება ტენდერში (სერვისის მომწოდებლის შესარჩევი) გამარჯვებულ კომპანიასთან ხელშეკრულების გასაფორმებლად;
- დასრულდა კონკურსი ადგილობრივი კოორდინატორების შესარჩევად, პროგრამაში დამატებული ახალი რეგიონებისთვის (კახეთი, ქვემო ქართლი, რაჭა-ლეჩხუმისა და ქვემო სვანეთის რეგიონები), მიმდინარეობს შემოსული განაცხადების შეფასება.</t>
    </r>
    <r>
      <rPr>
        <sz val="12"/>
        <rFont val="Franklin Gothic Book"/>
        <family val="2"/>
        <scheme val="minor"/>
      </rPr>
      <t xml:space="preserve">
კომპონენტი 2 - ინსტიტუციონალური განვითარება:
- დასრულდა პროგრამის საბაზისო კვლევა.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</si>
</sst>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dd\.mm\.yyyy"/>
    <numFmt numFmtId="166" formatCode="#,##0.00000"/>
    <numFmt numFmtId="167" formatCode="#,##0.000000000000"/>
  </numFmts>
  <fonts count="23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2"/>
      <color theme="1"/>
      <name val="Calibri"/>
      <family val="2"/>
    </font>
    <font>
      <sz val="14"/>
      <color rgb="FFFF0000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/>
      <diagonal/>
    </border>
    <border>
      <left style="dotted">
        <color theme="1" tint="4.9989318521683403E-2"/>
      </left>
      <right style="dotted">
        <color theme="1" tint="4.9989318521683403E-2"/>
      </right>
      <top/>
      <bottom style="dotted">
        <color theme="1" tint="4.9989318521683403E-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indexed="64"/>
      </bottom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83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4" fillId="3" borderId="0" xfId="1" applyNumberFormat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0" borderId="20" xfId="1" applyNumberFormat="1" applyFont="1" applyFill="1" applyBorder="1" applyAlignment="1">
      <alignment horizontal="left" vertical="center" wrapText="1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6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36" xfId="4" applyFont="1" applyFill="1" applyBorder="1" applyAlignment="1">
      <alignment horizontal="left" vertical="center" wrapText="1"/>
    </xf>
    <xf numFmtId="164" fontId="5" fillId="0" borderId="33" xfId="1" applyNumberFormat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 wrapText="1"/>
    </xf>
    <xf numFmtId="49" fontId="5" fillId="0" borderId="26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5" fontId="6" fillId="0" borderId="25" xfId="1" applyNumberFormat="1" applyFont="1" applyFill="1" applyBorder="1" applyAlignment="1">
      <alignment horizontal="center" vertical="center" wrapText="1"/>
    </xf>
    <xf numFmtId="165" fontId="6" fillId="2" borderId="25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left" vertical="center" wrapText="1"/>
    </xf>
    <xf numFmtId="165" fontId="6" fillId="2" borderId="12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164" fontId="6" fillId="0" borderId="25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164" fontId="6" fillId="0" borderId="25" xfId="1" quotePrefix="1" applyNumberFormat="1" applyFont="1" applyFill="1" applyBorder="1" applyAlignment="1">
      <alignment horizontal="center" vertical="center"/>
    </xf>
    <xf numFmtId="164" fontId="6" fillId="2" borderId="25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43" fontId="10" fillId="0" borderId="13" xfId="15" applyFont="1" applyFill="1" applyBorder="1" applyAlignment="1">
      <alignment horizontal="center" vertical="center"/>
    </xf>
    <xf numFmtId="164" fontId="17" fillId="0" borderId="35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43" fontId="5" fillId="0" borderId="33" xfId="15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49" fontId="5" fillId="2" borderId="16" xfId="1" applyNumberFormat="1" applyFont="1" applyFill="1" applyBorder="1" applyAlignment="1">
      <alignment horizontal="left" vertical="center" wrapText="1"/>
    </xf>
    <xf numFmtId="165" fontId="6" fillId="2" borderId="35" xfId="1" applyNumberFormat="1" applyFont="1" applyFill="1" applyBorder="1" applyAlignment="1">
      <alignment horizontal="center" vertical="center" wrapText="1"/>
    </xf>
    <xf numFmtId="164" fontId="6" fillId="2" borderId="35" xfId="1" applyNumberFormat="1" applyFont="1" applyFill="1" applyBorder="1" applyAlignment="1">
      <alignment horizontal="center" vertical="center"/>
    </xf>
    <xf numFmtId="49" fontId="6" fillId="2" borderId="31" xfId="1" applyNumberFormat="1" applyFont="1" applyFill="1" applyBorder="1" applyAlignment="1">
      <alignment horizontal="left" vertical="center" wrapText="1"/>
    </xf>
    <xf numFmtId="49" fontId="5" fillId="0" borderId="20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left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41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35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/>
    </xf>
    <xf numFmtId="165" fontId="5" fillId="2" borderId="44" xfId="1" applyNumberFormat="1" applyFont="1" applyFill="1" applyBorder="1" applyAlignment="1">
      <alignment horizontal="center" vertical="center" wrapText="1"/>
    </xf>
    <xf numFmtId="165" fontId="5" fillId="2" borderId="44" xfId="1" applyNumberFormat="1" applyFont="1" applyFill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 wrapText="1"/>
    </xf>
    <xf numFmtId="49" fontId="11" fillId="2" borderId="31" xfId="1" applyNumberFormat="1" applyFont="1" applyFill="1" applyBorder="1" applyAlignment="1">
      <alignment horizontal="left" vertical="center" wrapText="1"/>
    </xf>
    <xf numFmtId="164" fontId="6" fillId="0" borderId="35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left" vertical="center" wrapText="1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31" xfId="1" applyNumberFormat="1" applyFont="1" applyFill="1" applyBorder="1" applyAlignment="1">
      <alignment horizontal="left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 wrapText="1"/>
    </xf>
    <xf numFmtId="164" fontId="6" fillId="2" borderId="14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35" xfId="1" applyNumberFormat="1" applyFont="1" applyFill="1" applyBorder="1" applyAlignment="1">
      <alignment horizontal="center" vertical="center" wrapText="1"/>
    </xf>
    <xf numFmtId="43" fontId="6" fillId="0" borderId="33" xfId="15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 wrapText="1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43" fontId="6" fillId="0" borderId="25" xfId="15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43" fontId="6" fillId="0" borderId="13" xfId="15" applyFont="1" applyFill="1" applyBorder="1" applyAlignment="1">
      <alignment horizontal="center" vertical="center"/>
    </xf>
    <xf numFmtId="49" fontId="5" fillId="2" borderId="31" xfId="1" applyNumberFormat="1" applyFont="1" applyFill="1" applyBorder="1" applyAlignment="1">
      <alignment horizontal="left" vertical="top" wrapText="1"/>
    </xf>
    <xf numFmtId="49" fontId="6" fillId="0" borderId="18" xfId="1" applyNumberFormat="1" applyFont="1" applyFill="1" applyBorder="1" applyAlignment="1">
      <alignment horizontal="left" vertical="top" wrapText="1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49" fontId="5" fillId="0" borderId="31" xfId="1" applyNumberFormat="1" applyFont="1" applyFill="1" applyBorder="1" applyAlignment="1">
      <alignment horizontal="left"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34" xfId="1" applyNumberFormat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  <xf numFmtId="0" fontId="9" fillId="4" borderId="6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17" fillId="4" borderId="6" xfId="1" applyNumberFormat="1" applyFont="1" applyFill="1" applyBorder="1" applyAlignment="1">
      <alignment horizontal="center" vertical="center" textRotation="90" wrapText="1"/>
    </xf>
    <xf numFmtId="0" fontId="17" fillId="4" borderId="9" xfId="1" applyNumberFormat="1" applyFont="1" applyFill="1" applyBorder="1" applyAlignment="1">
      <alignment horizontal="center" vertical="center" textRotation="90" wrapText="1"/>
    </xf>
    <xf numFmtId="0" fontId="9" fillId="4" borderId="9" xfId="1" applyNumberFormat="1" applyFont="1" applyFill="1" applyBorder="1" applyAlignment="1">
      <alignment horizontal="center" vertical="center" wrapText="1"/>
    </xf>
    <xf numFmtId="0" fontId="13" fillId="4" borderId="9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164" fontId="6" fillId="0" borderId="44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5" fillId="2" borderId="16" xfId="1" applyNumberFormat="1" applyFont="1" applyFill="1" applyBorder="1" applyAlignment="1">
      <alignment horizontal="left" vertical="center" wrapText="1"/>
    </xf>
    <xf numFmtId="49" fontId="5" fillId="2" borderId="18" xfId="1" applyNumberFormat="1" applyFont="1" applyFill="1" applyBorder="1" applyAlignment="1">
      <alignment horizontal="left" vertical="center" wrapText="1"/>
    </xf>
    <xf numFmtId="49" fontId="5" fillId="2" borderId="45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38" xfId="1" applyNumberFormat="1" applyFont="1" applyFill="1" applyBorder="1" applyAlignment="1">
      <alignment horizontal="center" vertical="center"/>
    </xf>
    <xf numFmtId="164" fontId="5" fillId="0" borderId="39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43" xfId="1" applyFont="1" applyFill="1" applyBorder="1" applyAlignment="1">
      <alignment horizontal="left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4" fontId="6" fillId="0" borderId="38" xfId="1" quotePrefix="1" applyNumberFormat="1" applyFont="1" applyFill="1" applyBorder="1" applyAlignment="1">
      <alignment horizontal="center" vertical="center"/>
    </xf>
    <xf numFmtId="164" fontId="6" fillId="0" borderId="39" xfId="1" quotePrefix="1" applyNumberFormat="1" applyFont="1" applyFill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/>
    </xf>
    <xf numFmtId="165" fontId="6" fillId="0" borderId="34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center" vertical="center" wrapText="1"/>
    </xf>
    <xf numFmtId="165" fontId="5" fillId="2" borderId="33" xfId="1" applyNumberFormat="1" applyFont="1" applyFill="1" applyBorder="1" applyAlignment="1">
      <alignment horizontal="center" vertical="center" wrapText="1"/>
    </xf>
    <xf numFmtId="165" fontId="5" fillId="2" borderId="40" xfId="1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65" fontId="5" fillId="2" borderId="34" xfId="1" applyNumberFormat="1" applyFont="1" applyFill="1" applyBorder="1" applyAlignment="1">
      <alignment horizontal="center" vertical="center" wrapText="1"/>
    </xf>
    <xf numFmtId="164" fontId="15" fillId="0" borderId="33" xfId="1" applyNumberFormat="1" applyFont="1" applyFill="1" applyBorder="1" applyAlignment="1">
      <alignment horizontal="center" vertical="center"/>
    </xf>
    <xf numFmtId="164" fontId="15" fillId="0" borderId="34" xfId="1" applyNumberFormat="1" applyFont="1" applyFill="1" applyBorder="1" applyAlignment="1">
      <alignment horizontal="center" vertical="center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11"/>
  <sheetViews>
    <sheetView tabSelected="1" view="pageBreakPreview" topLeftCell="F80" zoomScale="68" zoomScaleNormal="68" zoomScaleSheetLayoutView="68" zoomScalePageLayoutView="20" workbookViewId="0">
      <selection activeCell="J83" sqref="J83"/>
    </sheetView>
  </sheetViews>
  <sheetFormatPr defaultColWidth="9.3046875" defaultRowHeight="16"/>
  <cols>
    <col min="1" max="1" width="53.4609375" style="14" customWidth="1"/>
    <col min="2" max="2" width="13.69140625" style="6" customWidth="1"/>
    <col min="3" max="3" width="13.69140625" style="3" customWidth="1"/>
    <col min="4" max="6" width="15.4609375" style="1" customWidth="1"/>
    <col min="7" max="7" width="16.765625" style="5" customWidth="1"/>
    <col min="8" max="8" width="13.4609375" style="1" customWidth="1"/>
    <col min="9" max="9" width="16.07421875" style="14" customWidth="1"/>
    <col min="10" max="10" width="13.84375" style="14" customWidth="1"/>
    <col min="11" max="11" width="16.07421875" style="14" customWidth="1"/>
    <col min="12" max="12" width="15.3046875" style="14" customWidth="1"/>
    <col min="13" max="13" width="28.84375" style="5" hidden="1" customWidth="1"/>
    <col min="14" max="14" width="108.69140625" style="17" customWidth="1"/>
    <col min="15" max="15" width="9.3046875" style="1"/>
    <col min="16" max="16" width="19" style="1" customWidth="1"/>
    <col min="17" max="16384" width="9.3046875" style="1"/>
  </cols>
  <sheetData>
    <row r="1" spans="1:14" ht="6.75" customHeight="1">
      <c r="B1" s="16"/>
      <c r="C1" s="16"/>
      <c r="D1" s="14"/>
      <c r="E1" s="14"/>
      <c r="F1" s="14"/>
      <c r="H1" s="14"/>
      <c r="M1" s="14"/>
    </row>
    <row r="2" spans="1:14" s="7" customFormat="1" ht="27" customHeight="1">
      <c r="A2" s="109" t="s">
        <v>40</v>
      </c>
      <c r="B2" s="22"/>
      <c r="C2" s="22"/>
      <c r="D2" s="21"/>
      <c r="E2" s="21"/>
      <c r="F2" s="21"/>
      <c r="G2" s="21"/>
      <c r="H2" s="9"/>
      <c r="I2" s="109"/>
      <c r="J2" s="109"/>
      <c r="K2" s="9"/>
      <c r="L2" s="109"/>
      <c r="M2" s="21"/>
      <c r="N2" s="100"/>
    </row>
    <row r="3" spans="1:14" ht="27" customHeight="1" thickBot="1">
      <c r="A3" s="110" t="s">
        <v>195</v>
      </c>
      <c r="B3" s="24"/>
      <c r="C3" s="24"/>
      <c r="D3" s="25"/>
      <c r="E3" s="25"/>
      <c r="F3" s="25"/>
      <c r="G3" s="25"/>
      <c r="H3" s="79"/>
      <c r="I3" s="79"/>
      <c r="J3" s="79"/>
      <c r="K3" s="79"/>
      <c r="L3" s="79"/>
      <c r="M3" s="25"/>
    </row>
    <row r="4" spans="1:14" s="7" customFormat="1" ht="75.650000000000006" customHeight="1">
      <c r="A4" s="331" t="s">
        <v>184</v>
      </c>
      <c r="B4" s="320" t="s">
        <v>178</v>
      </c>
      <c r="C4" s="320" t="s">
        <v>45</v>
      </c>
      <c r="D4" s="310" t="s">
        <v>35</v>
      </c>
      <c r="E4" s="310"/>
      <c r="F4" s="310"/>
      <c r="G4" s="317" t="s">
        <v>145</v>
      </c>
      <c r="H4" s="317"/>
      <c r="I4" s="317" t="s">
        <v>146</v>
      </c>
      <c r="J4" s="317"/>
      <c r="K4" s="317" t="s">
        <v>46</v>
      </c>
      <c r="L4" s="317"/>
      <c r="M4" s="313" t="s">
        <v>0</v>
      </c>
      <c r="N4" s="315" t="s">
        <v>34</v>
      </c>
    </row>
    <row r="5" spans="1:14" s="7" customFormat="1" ht="55.5" customHeight="1" thickBot="1">
      <c r="A5" s="332"/>
      <c r="B5" s="321"/>
      <c r="C5" s="321"/>
      <c r="D5" s="323" t="s">
        <v>31</v>
      </c>
      <c r="E5" s="323"/>
      <c r="F5" s="323"/>
      <c r="G5" s="322" t="s">
        <v>42</v>
      </c>
      <c r="H5" s="322"/>
      <c r="I5" s="322" t="s">
        <v>42</v>
      </c>
      <c r="J5" s="322"/>
      <c r="K5" s="322" t="s">
        <v>42</v>
      </c>
      <c r="L5" s="322"/>
      <c r="M5" s="314"/>
      <c r="N5" s="316"/>
    </row>
    <row r="6" spans="1:14" ht="30.75" customHeight="1" thickBot="1">
      <c r="A6" s="111"/>
      <c r="B6" s="26"/>
      <c r="C6" s="26"/>
      <c r="D6" s="27" t="s">
        <v>23</v>
      </c>
      <c r="E6" s="27" t="s">
        <v>17</v>
      </c>
      <c r="F6" s="27" t="s">
        <v>18</v>
      </c>
      <c r="G6" s="27" t="s">
        <v>17</v>
      </c>
      <c r="H6" s="80" t="s">
        <v>18</v>
      </c>
      <c r="I6" s="80" t="s">
        <v>17</v>
      </c>
      <c r="J6" s="191" t="s">
        <v>18</v>
      </c>
      <c r="K6" s="80" t="s">
        <v>17</v>
      </c>
      <c r="L6" s="80" t="s">
        <v>18</v>
      </c>
      <c r="M6" s="28"/>
      <c r="N6" s="101"/>
    </row>
    <row r="7" spans="1:14" s="8" customFormat="1" ht="36.75" customHeight="1" thickBot="1">
      <c r="A7" s="328" t="s">
        <v>11</v>
      </c>
      <c r="B7" s="329"/>
      <c r="C7" s="329"/>
      <c r="D7" s="329"/>
      <c r="E7" s="329"/>
      <c r="F7" s="330"/>
      <c r="G7" s="29">
        <f>SUM(G8:G36)</f>
        <v>475680</v>
      </c>
      <c r="H7" s="81">
        <f t="shared" ref="H7:L7" si="0">SUM(H8:H36)</f>
        <v>5000</v>
      </c>
      <c r="I7" s="81">
        <f t="shared" si="0"/>
        <v>362986.31129999994</v>
      </c>
      <c r="J7" s="81">
        <f t="shared" si="0"/>
        <v>4113.8947600000001</v>
      </c>
      <c r="K7" s="81">
        <f t="shared" si="0"/>
        <v>2935004.3669200004</v>
      </c>
      <c r="L7" s="81">
        <f t="shared" si="0"/>
        <v>42560.961380000001</v>
      </c>
      <c r="M7" s="30"/>
      <c r="N7" s="102"/>
    </row>
    <row r="8" spans="1:14" ht="107.25" customHeight="1">
      <c r="A8" s="346" t="s">
        <v>32</v>
      </c>
      <c r="B8" s="311">
        <v>41431</v>
      </c>
      <c r="C8" s="348">
        <v>43830</v>
      </c>
      <c r="D8" s="59" t="s">
        <v>21</v>
      </c>
      <c r="E8" s="59">
        <v>24500</v>
      </c>
      <c r="F8" s="319"/>
      <c r="G8" s="319">
        <v>925</v>
      </c>
      <c r="H8" s="334"/>
      <c r="I8" s="334">
        <v>1358.0915500000001</v>
      </c>
      <c r="J8" s="337"/>
      <c r="K8" s="334">
        <f>163627.86457+I8</f>
        <v>164985.95612000002</v>
      </c>
      <c r="L8" s="334"/>
      <c r="M8" s="345" t="s">
        <v>39</v>
      </c>
      <c r="N8" s="341" t="s">
        <v>180</v>
      </c>
    </row>
    <row r="9" spans="1:14" ht="100.5" customHeight="1">
      <c r="A9" s="333"/>
      <c r="B9" s="312"/>
      <c r="C9" s="347"/>
      <c r="D9" s="58" t="s">
        <v>22</v>
      </c>
      <c r="E9" s="58">
        <v>38000</v>
      </c>
      <c r="F9" s="318"/>
      <c r="G9" s="318"/>
      <c r="H9" s="335"/>
      <c r="I9" s="335"/>
      <c r="J9" s="336"/>
      <c r="K9" s="335"/>
      <c r="L9" s="335"/>
      <c r="M9" s="344"/>
      <c r="N9" s="342"/>
    </row>
    <row r="10" spans="1:14" s="10" customFormat="1" ht="108.75" customHeight="1">
      <c r="A10" s="333" t="s">
        <v>60</v>
      </c>
      <c r="B10" s="312">
        <v>42410</v>
      </c>
      <c r="C10" s="347">
        <v>45291</v>
      </c>
      <c r="D10" s="58" t="s">
        <v>22</v>
      </c>
      <c r="E10" s="58">
        <v>140000</v>
      </c>
      <c r="F10" s="58"/>
      <c r="G10" s="318">
        <v>59300</v>
      </c>
      <c r="H10" s="335"/>
      <c r="I10" s="335">
        <v>47848.472269999998</v>
      </c>
      <c r="J10" s="336"/>
      <c r="K10" s="335">
        <f>168216.49098+I10</f>
        <v>216064.96325</v>
      </c>
      <c r="L10" s="335"/>
      <c r="M10" s="60"/>
      <c r="N10" s="343" t="s">
        <v>198</v>
      </c>
    </row>
    <row r="11" spans="1:14" s="10" customFormat="1" ht="123" customHeight="1">
      <c r="A11" s="333"/>
      <c r="B11" s="312"/>
      <c r="C11" s="347"/>
      <c r="D11" s="58" t="s">
        <v>28</v>
      </c>
      <c r="E11" s="58">
        <v>49450</v>
      </c>
      <c r="F11" s="58"/>
      <c r="G11" s="318"/>
      <c r="H11" s="335"/>
      <c r="I11" s="335"/>
      <c r="J11" s="336"/>
      <c r="K11" s="335"/>
      <c r="L11" s="335"/>
      <c r="M11" s="60"/>
      <c r="N11" s="342"/>
    </row>
    <row r="12" spans="1:14" ht="66.75" customHeight="1">
      <c r="A12" s="333" t="s">
        <v>26</v>
      </c>
      <c r="B12" s="312">
        <v>40115</v>
      </c>
      <c r="C12" s="312">
        <v>43737</v>
      </c>
      <c r="D12" s="58" t="s">
        <v>21</v>
      </c>
      <c r="E12" s="58">
        <v>75892</v>
      </c>
      <c r="F12" s="318"/>
      <c r="G12" s="318">
        <v>1500</v>
      </c>
      <c r="H12" s="335"/>
      <c r="I12" s="335">
        <v>1489.46657</v>
      </c>
      <c r="J12" s="335"/>
      <c r="K12" s="335">
        <f>391974.5999+H12</f>
        <v>391974.59989999997</v>
      </c>
      <c r="L12" s="335"/>
      <c r="M12" s="344" t="s">
        <v>39</v>
      </c>
      <c r="N12" s="303" t="s">
        <v>170</v>
      </c>
    </row>
    <row r="13" spans="1:14" ht="75.650000000000006" customHeight="1">
      <c r="A13" s="333"/>
      <c r="B13" s="312"/>
      <c r="C13" s="312"/>
      <c r="D13" s="58" t="s">
        <v>25</v>
      </c>
      <c r="E13" s="58">
        <v>140000</v>
      </c>
      <c r="F13" s="318"/>
      <c r="G13" s="318"/>
      <c r="H13" s="335"/>
      <c r="I13" s="335"/>
      <c r="J13" s="335"/>
      <c r="K13" s="335"/>
      <c r="L13" s="335"/>
      <c r="M13" s="344"/>
      <c r="N13" s="304"/>
    </row>
    <row r="14" spans="1:14" ht="54" customHeight="1">
      <c r="A14" s="324" t="s">
        <v>72</v>
      </c>
      <c r="B14" s="326">
        <v>42898</v>
      </c>
      <c r="C14" s="326">
        <v>45107</v>
      </c>
      <c r="D14" s="66" t="s">
        <v>28</v>
      </c>
      <c r="E14" s="66">
        <v>108190</v>
      </c>
      <c r="F14" s="299"/>
      <c r="G14" s="299">
        <v>41500</v>
      </c>
      <c r="H14" s="301"/>
      <c r="I14" s="301">
        <v>33986.304660000002</v>
      </c>
      <c r="J14" s="301"/>
      <c r="K14" s="301">
        <f>117939.54392+H14</f>
        <v>117939.54392</v>
      </c>
      <c r="L14" s="301"/>
      <c r="M14" s="60"/>
      <c r="N14" s="303" t="s">
        <v>139</v>
      </c>
    </row>
    <row r="15" spans="1:14" s="14" customFormat="1" ht="54" customHeight="1">
      <c r="A15" s="325"/>
      <c r="B15" s="327"/>
      <c r="C15" s="327"/>
      <c r="D15" s="66" t="s">
        <v>22</v>
      </c>
      <c r="E15" s="66">
        <v>114000</v>
      </c>
      <c r="F15" s="300"/>
      <c r="G15" s="300"/>
      <c r="H15" s="302"/>
      <c r="I15" s="302"/>
      <c r="J15" s="302"/>
      <c r="K15" s="302"/>
      <c r="L15" s="302"/>
      <c r="M15" s="67"/>
      <c r="N15" s="304"/>
    </row>
    <row r="16" spans="1:14" ht="120.75" customHeight="1">
      <c r="A16" s="112" t="s">
        <v>29</v>
      </c>
      <c r="B16" s="57">
        <v>40163</v>
      </c>
      <c r="C16" s="34">
        <v>45101</v>
      </c>
      <c r="D16" s="58" t="s">
        <v>27</v>
      </c>
      <c r="E16" s="58">
        <v>22132000</v>
      </c>
      <c r="F16" s="58"/>
      <c r="G16" s="76">
        <v>3610</v>
      </c>
      <c r="H16" s="66"/>
      <c r="I16" s="222">
        <v>3600.98317</v>
      </c>
      <c r="J16" s="178"/>
      <c r="K16" s="178">
        <f>396912.82844+I16</f>
        <v>400513.81161000003</v>
      </c>
      <c r="L16" s="178"/>
      <c r="M16" s="60" t="s">
        <v>39</v>
      </c>
      <c r="N16" s="64" t="s">
        <v>171</v>
      </c>
    </row>
    <row r="17" spans="1:14" ht="225.75" customHeight="1">
      <c r="A17" s="112" t="s">
        <v>51</v>
      </c>
      <c r="B17" s="57">
        <v>41040</v>
      </c>
      <c r="C17" s="57">
        <v>43797</v>
      </c>
      <c r="D17" s="58" t="s">
        <v>28</v>
      </c>
      <c r="E17" s="58">
        <v>200000</v>
      </c>
      <c r="F17" s="58">
        <v>20000</v>
      </c>
      <c r="G17" s="122">
        <v>37000</v>
      </c>
      <c r="H17" s="124">
        <v>5000</v>
      </c>
      <c r="I17" s="178">
        <v>30714.133620000001</v>
      </c>
      <c r="J17" s="178">
        <v>4113.8947600000001</v>
      </c>
      <c r="K17" s="178">
        <f>353684.85275+I17</f>
        <v>384398.98637</v>
      </c>
      <c r="L17" s="178">
        <f>38447.06662+J17</f>
        <v>42560.961380000001</v>
      </c>
      <c r="M17" s="60" t="s">
        <v>39</v>
      </c>
      <c r="N17" s="154" t="s">
        <v>190</v>
      </c>
    </row>
    <row r="18" spans="1:14" s="14" customFormat="1" ht="41.5" customHeight="1">
      <c r="A18" s="305" t="s">
        <v>92</v>
      </c>
      <c r="B18" s="93" t="s">
        <v>90</v>
      </c>
      <c r="C18" s="93" t="s">
        <v>91</v>
      </c>
      <c r="D18" s="92" t="s">
        <v>28</v>
      </c>
      <c r="E18" s="92">
        <v>16900</v>
      </c>
      <c r="F18" s="87"/>
      <c r="G18" s="299">
        <v>14000</v>
      </c>
      <c r="H18" s="301"/>
      <c r="I18" s="301">
        <v>6567.1825600000002</v>
      </c>
      <c r="J18" s="301"/>
      <c r="K18" s="301">
        <f>59639.55053+I18</f>
        <v>66206.733089999994</v>
      </c>
      <c r="L18" s="301"/>
      <c r="M18" s="88"/>
      <c r="N18" s="303" t="s">
        <v>191</v>
      </c>
    </row>
    <row r="19" spans="1:14" s="14" customFormat="1" ht="35.25" customHeight="1">
      <c r="A19" s="306"/>
      <c r="B19" s="161">
        <v>42713</v>
      </c>
      <c r="C19" s="161">
        <v>44539</v>
      </c>
      <c r="D19" s="162" t="s">
        <v>28</v>
      </c>
      <c r="E19" s="299">
        <v>250000</v>
      </c>
      <c r="F19" s="69"/>
      <c r="G19" s="300"/>
      <c r="H19" s="302"/>
      <c r="I19" s="302"/>
      <c r="J19" s="302"/>
      <c r="K19" s="302"/>
      <c r="L19" s="302"/>
      <c r="M19" s="78"/>
      <c r="N19" s="304"/>
    </row>
    <row r="20" spans="1:14" s="14" customFormat="1" ht="63.75" customHeight="1">
      <c r="A20" s="112" t="s">
        <v>147</v>
      </c>
      <c r="B20" s="307">
        <v>42713</v>
      </c>
      <c r="C20" s="307">
        <v>44539</v>
      </c>
      <c r="D20" s="299" t="s">
        <v>28</v>
      </c>
      <c r="E20" s="309"/>
      <c r="F20" s="69"/>
      <c r="G20" s="76">
        <v>84750</v>
      </c>
      <c r="H20" s="151"/>
      <c r="I20" s="178">
        <v>60021.844290000001</v>
      </c>
      <c r="J20" s="178"/>
      <c r="K20" s="178">
        <f>215007.00447+I20</f>
        <v>275028.84876000002</v>
      </c>
      <c r="L20" s="178"/>
      <c r="M20" s="78"/>
      <c r="N20" s="158" t="s">
        <v>134</v>
      </c>
    </row>
    <row r="21" spans="1:14" s="14" customFormat="1" ht="51.65" customHeight="1">
      <c r="A21" s="112" t="s">
        <v>86</v>
      </c>
      <c r="B21" s="308"/>
      <c r="C21" s="308"/>
      <c r="D21" s="300"/>
      <c r="E21" s="300"/>
      <c r="F21" s="69"/>
      <c r="G21" s="76">
        <v>15995</v>
      </c>
      <c r="H21" s="69"/>
      <c r="I21" s="178">
        <v>11689.68498</v>
      </c>
      <c r="J21" s="178"/>
      <c r="K21" s="178">
        <f>32232.72593+I21</f>
        <v>43922.410909999999</v>
      </c>
      <c r="L21" s="178"/>
      <c r="M21" s="78"/>
      <c r="N21" s="158" t="s">
        <v>135</v>
      </c>
    </row>
    <row r="22" spans="1:14" s="14" customFormat="1" ht="67.900000000000006" customHeight="1">
      <c r="A22" s="112" t="s">
        <v>87</v>
      </c>
      <c r="B22" s="161"/>
      <c r="C22" s="161"/>
      <c r="D22" s="162"/>
      <c r="E22" s="162"/>
      <c r="F22" s="69"/>
      <c r="G22" s="76"/>
      <c r="H22" s="69"/>
      <c r="I22" s="178"/>
      <c r="J22" s="178"/>
      <c r="K22" s="178"/>
      <c r="L22" s="178"/>
      <c r="M22" s="78"/>
      <c r="N22" s="158" t="s">
        <v>132</v>
      </c>
    </row>
    <row r="23" spans="1:14" s="14" customFormat="1" ht="59.25" customHeight="1">
      <c r="A23" s="112" t="s">
        <v>88</v>
      </c>
      <c r="B23" s="161"/>
      <c r="C23" s="161"/>
      <c r="D23" s="162"/>
      <c r="E23" s="162"/>
      <c r="F23" s="69"/>
      <c r="G23" s="76"/>
      <c r="H23" s="69"/>
      <c r="I23" s="178"/>
      <c r="J23" s="178"/>
      <c r="K23" s="178"/>
      <c r="L23" s="178"/>
      <c r="M23" s="78"/>
      <c r="N23" s="95" t="s">
        <v>181</v>
      </c>
    </row>
    <row r="24" spans="1:14" s="14" customFormat="1" ht="87" customHeight="1">
      <c r="A24" s="112" t="s">
        <v>85</v>
      </c>
      <c r="B24" s="161">
        <v>43378</v>
      </c>
      <c r="C24" s="173">
        <v>45657.123206018521</v>
      </c>
      <c r="D24" s="162" t="s">
        <v>28</v>
      </c>
      <c r="E24" s="162">
        <v>255297</v>
      </c>
      <c r="F24" s="69"/>
      <c r="G24" s="76">
        <v>64855</v>
      </c>
      <c r="H24" s="69"/>
      <c r="I24" s="178">
        <v>40410.358719999997</v>
      </c>
      <c r="J24" s="178"/>
      <c r="K24" s="178">
        <f>125625.3416+I24</f>
        <v>166035.70032</v>
      </c>
      <c r="L24" s="178"/>
      <c r="M24" s="78"/>
      <c r="N24" s="219" t="s">
        <v>175</v>
      </c>
    </row>
    <row r="25" spans="1:14" s="14" customFormat="1" ht="29.25" customHeight="1">
      <c r="A25" s="305" t="s">
        <v>141</v>
      </c>
      <c r="B25" s="161">
        <v>43704</v>
      </c>
      <c r="C25" s="307">
        <v>45291</v>
      </c>
      <c r="D25" s="299" t="s">
        <v>28</v>
      </c>
      <c r="E25" s="162">
        <v>370236</v>
      </c>
      <c r="F25" s="69"/>
      <c r="G25" s="299">
        <v>500</v>
      </c>
      <c r="H25" s="299"/>
      <c r="I25" s="301">
        <v>1535.2172599999999</v>
      </c>
      <c r="J25" s="301"/>
      <c r="K25" s="301">
        <f>223666.14134+I25</f>
        <v>225201.35860000001</v>
      </c>
      <c r="L25" s="301"/>
      <c r="M25" s="78"/>
      <c r="N25" s="303" t="s">
        <v>143</v>
      </c>
    </row>
    <row r="26" spans="1:14" s="14" customFormat="1" ht="26.25" customHeight="1">
      <c r="A26" s="306"/>
      <c r="B26" s="174">
        <v>43749</v>
      </c>
      <c r="C26" s="308"/>
      <c r="D26" s="300"/>
      <c r="E26" s="175">
        <v>53400</v>
      </c>
      <c r="F26" s="69"/>
      <c r="G26" s="300"/>
      <c r="H26" s="300"/>
      <c r="I26" s="302"/>
      <c r="J26" s="302"/>
      <c r="K26" s="302"/>
      <c r="L26" s="302"/>
      <c r="M26" s="78"/>
      <c r="N26" s="304"/>
    </row>
    <row r="27" spans="1:14" s="14" customFormat="1" ht="60" customHeight="1">
      <c r="A27" s="171" t="s">
        <v>148</v>
      </c>
      <c r="B27" s="185">
        <v>43796</v>
      </c>
      <c r="C27" s="189">
        <v>44926</v>
      </c>
      <c r="D27" s="186" t="s">
        <v>28</v>
      </c>
      <c r="E27" s="186">
        <v>255100</v>
      </c>
      <c r="F27" s="69"/>
      <c r="G27" s="76">
        <v>98895</v>
      </c>
      <c r="H27" s="69"/>
      <c r="I27" s="178">
        <v>107040.61209</v>
      </c>
      <c r="J27" s="178"/>
      <c r="K27" s="178">
        <f>I27</f>
        <v>107040.61209</v>
      </c>
      <c r="L27" s="178"/>
      <c r="M27" s="78"/>
      <c r="N27" s="203" t="s">
        <v>192</v>
      </c>
    </row>
    <row r="28" spans="1:14" s="14" customFormat="1" ht="48.75" customHeight="1">
      <c r="A28" s="112" t="s">
        <v>137</v>
      </c>
      <c r="B28" s="70"/>
      <c r="C28" s="70"/>
      <c r="D28" s="69"/>
      <c r="E28" s="69"/>
      <c r="F28" s="69"/>
      <c r="G28" s="76"/>
      <c r="H28" s="69"/>
      <c r="I28" s="178"/>
      <c r="J28" s="178"/>
      <c r="K28" s="178"/>
      <c r="L28" s="178"/>
      <c r="M28" s="78"/>
      <c r="N28" s="172" t="s">
        <v>172</v>
      </c>
    </row>
    <row r="29" spans="1:14" s="14" customFormat="1" ht="57.75" customHeight="1">
      <c r="A29" s="112" t="s">
        <v>142</v>
      </c>
      <c r="B29" s="70"/>
      <c r="C29" s="70"/>
      <c r="D29" s="69"/>
      <c r="E29" s="69"/>
      <c r="F29" s="69"/>
      <c r="G29" s="76"/>
      <c r="H29" s="69"/>
      <c r="I29" s="178"/>
      <c r="J29" s="178"/>
      <c r="K29" s="178"/>
      <c r="L29" s="178"/>
      <c r="M29" s="78"/>
      <c r="N29" s="95" t="s">
        <v>144</v>
      </c>
    </row>
    <row r="30" spans="1:14" s="4" customFormat="1" ht="26.25" customHeight="1">
      <c r="A30" s="333" t="s">
        <v>1</v>
      </c>
      <c r="B30" s="312">
        <v>40990</v>
      </c>
      <c r="C30" s="312">
        <v>43646</v>
      </c>
      <c r="D30" s="58" t="s">
        <v>21</v>
      </c>
      <c r="E30" s="58">
        <v>25800</v>
      </c>
      <c r="F30" s="318"/>
      <c r="G30" s="318"/>
      <c r="H30" s="335"/>
      <c r="I30" s="335"/>
      <c r="J30" s="336"/>
      <c r="K30" s="335">
        <f>127772.76574+I30</f>
        <v>127772.76574</v>
      </c>
      <c r="L30" s="335"/>
      <c r="M30" s="344" t="s">
        <v>39</v>
      </c>
      <c r="N30" s="343" t="s">
        <v>140</v>
      </c>
    </row>
    <row r="31" spans="1:14" s="4" customFormat="1" ht="27" customHeight="1">
      <c r="A31" s="333"/>
      <c r="B31" s="312"/>
      <c r="C31" s="312"/>
      <c r="D31" s="58" t="s">
        <v>22</v>
      </c>
      <c r="E31" s="58">
        <v>30000</v>
      </c>
      <c r="F31" s="318"/>
      <c r="G31" s="318"/>
      <c r="H31" s="335"/>
      <c r="I31" s="335"/>
      <c r="J31" s="336"/>
      <c r="K31" s="335"/>
      <c r="L31" s="335"/>
      <c r="M31" s="344"/>
      <c r="N31" s="342"/>
    </row>
    <row r="32" spans="1:14" s="4" customFormat="1" ht="152.25" customHeight="1">
      <c r="A32" s="112" t="s">
        <v>43</v>
      </c>
      <c r="B32" s="57">
        <v>41829</v>
      </c>
      <c r="C32" s="280">
        <v>44561</v>
      </c>
      <c r="D32" s="58" t="s">
        <v>22</v>
      </c>
      <c r="E32" s="58">
        <v>75000</v>
      </c>
      <c r="F32" s="58"/>
      <c r="G32" s="76">
        <v>11200</v>
      </c>
      <c r="H32" s="66"/>
      <c r="I32" s="178">
        <v>3495.5286500000002</v>
      </c>
      <c r="J32" s="178"/>
      <c r="K32" s="178">
        <f>152232.98933+I32</f>
        <v>155728.51798</v>
      </c>
      <c r="L32" s="178"/>
      <c r="M32" s="60" t="s">
        <v>39</v>
      </c>
      <c r="N32" s="160" t="s">
        <v>182</v>
      </c>
    </row>
    <row r="33" spans="1:17" s="4" customFormat="1" ht="175.5" customHeight="1">
      <c r="A33" s="91" t="s">
        <v>57</v>
      </c>
      <c r="B33" s="57">
        <v>42457</v>
      </c>
      <c r="C33" s="57">
        <v>44561</v>
      </c>
      <c r="D33" s="58" t="s">
        <v>22</v>
      </c>
      <c r="E33" s="58">
        <v>40000</v>
      </c>
      <c r="F33" s="58"/>
      <c r="G33" s="76">
        <v>19000</v>
      </c>
      <c r="H33" s="66"/>
      <c r="I33" s="178">
        <v>2276.5864999999999</v>
      </c>
      <c r="J33" s="178"/>
      <c r="K33" s="178">
        <f>41363.34064+I33</f>
        <v>43639.92714</v>
      </c>
      <c r="L33" s="178"/>
      <c r="M33" s="60"/>
      <c r="N33" s="170" t="s">
        <v>199</v>
      </c>
    </row>
    <row r="34" spans="1:17" s="4" customFormat="1" ht="72.650000000000006" customHeight="1">
      <c r="A34" s="91" t="s">
        <v>82</v>
      </c>
      <c r="B34" s="163" t="s">
        <v>83</v>
      </c>
      <c r="C34" s="163" t="s">
        <v>84</v>
      </c>
      <c r="D34" s="164" t="s">
        <v>22</v>
      </c>
      <c r="E34" s="164">
        <v>80000</v>
      </c>
      <c r="F34" s="164"/>
      <c r="G34" s="164">
        <v>10800</v>
      </c>
      <c r="H34" s="165"/>
      <c r="I34" s="178">
        <v>10530.00506</v>
      </c>
      <c r="J34" s="178"/>
      <c r="K34" s="178">
        <f>34245.64722+I34</f>
        <v>44775.652279999995</v>
      </c>
      <c r="L34" s="178"/>
      <c r="M34" s="166"/>
      <c r="N34" s="160" t="s">
        <v>136</v>
      </c>
      <c r="O34" s="227"/>
      <c r="P34" s="226"/>
      <c r="Q34" s="228"/>
    </row>
    <row r="35" spans="1:17" s="4" customFormat="1" ht="78" customHeight="1">
      <c r="A35" s="91" t="s">
        <v>58</v>
      </c>
      <c r="B35" s="57">
        <v>42752</v>
      </c>
      <c r="C35" s="57">
        <v>44196</v>
      </c>
      <c r="D35" s="58" t="s">
        <v>61</v>
      </c>
      <c r="E35" s="58">
        <v>8000</v>
      </c>
      <c r="F35" s="58"/>
      <c r="G35" s="76">
        <v>11250</v>
      </c>
      <c r="H35" s="66"/>
      <c r="I35" s="178">
        <v>421.83935000000002</v>
      </c>
      <c r="J35" s="178"/>
      <c r="K35" s="178">
        <f>2066.76764+I35</f>
        <v>2488.6069900000002</v>
      </c>
      <c r="L35" s="178"/>
      <c r="M35" s="60"/>
      <c r="N35" s="160" t="s">
        <v>169</v>
      </c>
    </row>
    <row r="36" spans="1:17" s="4" customFormat="1" ht="67.5" customHeight="1" thickBot="1">
      <c r="A36" s="113" t="s">
        <v>59</v>
      </c>
      <c r="B36" s="35">
        <v>42734</v>
      </c>
      <c r="C36" s="35">
        <v>43830</v>
      </c>
      <c r="D36" s="36" t="s">
        <v>28</v>
      </c>
      <c r="E36" s="36">
        <v>6000</v>
      </c>
      <c r="F36" s="36"/>
      <c r="G36" s="36">
        <v>600</v>
      </c>
      <c r="H36" s="73"/>
      <c r="I36" s="73"/>
      <c r="J36" s="73"/>
      <c r="K36" s="73">
        <f>1285.37185+I36</f>
        <v>1285.37185</v>
      </c>
      <c r="L36" s="73"/>
      <c r="M36" s="37"/>
      <c r="N36" s="217" t="s">
        <v>173</v>
      </c>
    </row>
    <row r="37" spans="1:17" s="8" customFormat="1" ht="38.25" customHeight="1" thickBot="1">
      <c r="A37" s="349" t="s">
        <v>10</v>
      </c>
      <c r="B37" s="350"/>
      <c r="C37" s="350"/>
      <c r="D37" s="350"/>
      <c r="E37" s="350"/>
      <c r="F37" s="351"/>
      <c r="G37" s="38">
        <f>G38+G39+G40+G41+G43+G45+G46+G47+G48+G49+G54+G55+G50+G51+G52+G53</f>
        <v>152015.5</v>
      </c>
      <c r="H37" s="38">
        <f t="shared" ref="H37:L37" si="1">H38+H39+H40+H41+H43+H45+H46+H47+H48+H49+H54+H55+H50+H51+H52+H53</f>
        <v>3935</v>
      </c>
      <c r="I37" s="82">
        <f t="shared" si="1"/>
        <v>86750.768099999987</v>
      </c>
      <c r="J37" s="82">
        <f t="shared" si="1"/>
        <v>2272.0802099999996</v>
      </c>
      <c r="K37" s="82">
        <f t="shared" si="1"/>
        <v>895192.46776999999</v>
      </c>
      <c r="L37" s="82">
        <f t="shared" si="1"/>
        <v>16947.143199999999</v>
      </c>
      <c r="M37" s="39"/>
      <c r="N37" s="103"/>
      <c r="P37" s="11"/>
    </row>
    <row r="38" spans="1:17" ht="65.25" customHeight="1">
      <c r="A38" s="168" t="s">
        <v>149</v>
      </c>
      <c r="B38" s="40">
        <v>41869</v>
      </c>
      <c r="C38" s="40" t="s">
        <v>131</v>
      </c>
      <c r="D38" s="41" t="s">
        <v>22</v>
      </c>
      <c r="E38" s="41">
        <v>30000</v>
      </c>
      <c r="F38" s="41">
        <v>5000</v>
      </c>
      <c r="G38" s="41">
        <v>6615</v>
      </c>
      <c r="H38" s="71">
        <v>1385</v>
      </c>
      <c r="I38" s="71">
        <v>4181.4684999999999</v>
      </c>
      <c r="J38" s="183">
        <v>703.95246999999995</v>
      </c>
      <c r="K38" s="71">
        <f>52585.31347+I38</f>
        <v>56766.781970000004</v>
      </c>
      <c r="L38" s="71">
        <f>8136.79195+J38</f>
        <v>8840.7444199999991</v>
      </c>
      <c r="M38" s="42"/>
      <c r="N38" s="104" t="s">
        <v>100</v>
      </c>
    </row>
    <row r="39" spans="1:17" ht="86.25" customHeight="1">
      <c r="A39" s="114" t="s">
        <v>5</v>
      </c>
      <c r="B39" s="62">
        <v>40227</v>
      </c>
      <c r="C39" s="155">
        <v>44926</v>
      </c>
      <c r="D39" s="61" t="s">
        <v>28</v>
      </c>
      <c r="E39" s="61">
        <v>3000</v>
      </c>
      <c r="F39" s="277">
        <v>4000</v>
      </c>
      <c r="G39" s="77">
        <v>2000</v>
      </c>
      <c r="H39" s="72"/>
      <c r="I39" s="183">
        <v>1397.40435</v>
      </c>
      <c r="J39" s="183">
        <v>591.75761</v>
      </c>
      <c r="K39" s="183">
        <f>2401.7848+I39</f>
        <v>3799.1891500000002</v>
      </c>
      <c r="L39" s="183"/>
      <c r="M39" s="63" t="s">
        <v>36</v>
      </c>
      <c r="N39" s="105" t="s">
        <v>101</v>
      </c>
    </row>
    <row r="40" spans="1:17" ht="124.5" customHeight="1">
      <c r="A40" s="114" t="s">
        <v>52</v>
      </c>
      <c r="B40" s="62">
        <v>41621</v>
      </c>
      <c r="C40" s="156">
        <v>44926</v>
      </c>
      <c r="D40" s="61" t="s">
        <v>28</v>
      </c>
      <c r="E40" s="61">
        <v>20000</v>
      </c>
      <c r="F40" s="61">
        <v>2000</v>
      </c>
      <c r="G40" s="77">
        <v>700</v>
      </c>
      <c r="H40" s="72">
        <v>1300</v>
      </c>
      <c r="I40" s="183">
        <v>667.55598999999995</v>
      </c>
      <c r="J40" s="183">
        <v>659.51363000000003</v>
      </c>
      <c r="K40" s="192">
        <f>7439.85874+I40</f>
        <v>8107.4147299999995</v>
      </c>
      <c r="L40" s="183">
        <f>6355.42307+J40</f>
        <v>7014.9367000000002</v>
      </c>
      <c r="M40" s="63" t="s">
        <v>44</v>
      </c>
      <c r="N40" s="105" t="s">
        <v>102</v>
      </c>
    </row>
    <row r="41" spans="1:17" ht="87" customHeight="1">
      <c r="A41" s="371" t="s">
        <v>19</v>
      </c>
      <c r="B41" s="339">
        <v>40350</v>
      </c>
      <c r="C41" s="339">
        <v>44196</v>
      </c>
      <c r="D41" s="61" t="s">
        <v>21</v>
      </c>
      <c r="E41" s="61">
        <f>57986+10639</f>
        <v>68625</v>
      </c>
      <c r="F41" s="340"/>
      <c r="G41" s="359">
        <v>22800</v>
      </c>
      <c r="H41" s="361"/>
      <c r="I41" s="361">
        <v>24863.21903</v>
      </c>
      <c r="J41" s="361"/>
      <c r="K41" s="366">
        <f>408545.01518+I41</f>
        <v>433408.23420999997</v>
      </c>
      <c r="L41" s="361"/>
      <c r="M41" s="358" t="s">
        <v>37</v>
      </c>
      <c r="N41" s="353" t="s">
        <v>103</v>
      </c>
    </row>
    <row r="42" spans="1:17" ht="100.5" customHeight="1">
      <c r="A42" s="371"/>
      <c r="B42" s="339"/>
      <c r="C42" s="339"/>
      <c r="D42" s="61" t="s">
        <v>22</v>
      </c>
      <c r="E42" s="61">
        <f>48886+73000+20000</f>
        <v>141886</v>
      </c>
      <c r="F42" s="340"/>
      <c r="G42" s="360"/>
      <c r="H42" s="361"/>
      <c r="I42" s="361"/>
      <c r="J42" s="361"/>
      <c r="K42" s="367"/>
      <c r="L42" s="361"/>
      <c r="M42" s="358"/>
      <c r="N42" s="353"/>
    </row>
    <row r="43" spans="1:17" ht="44.25" customHeight="1">
      <c r="A43" s="338" t="s">
        <v>2</v>
      </c>
      <c r="B43" s="339">
        <v>41222</v>
      </c>
      <c r="C43" s="339">
        <v>43830</v>
      </c>
      <c r="D43" s="61" t="s">
        <v>21</v>
      </c>
      <c r="E43" s="61">
        <v>19800</v>
      </c>
      <c r="F43" s="61"/>
      <c r="G43" s="340">
        <v>1370.5</v>
      </c>
      <c r="H43" s="361"/>
      <c r="I43" s="361">
        <v>1368.05864</v>
      </c>
      <c r="J43" s="361"/>
      <c r="K43" s="361">
        <f>79274.14018+I43</f>
        <v>80642.198820000005</v>
      </c>
      <c r="L43" s="361"/>
      <c r="M43" s="63" t="s">
        <v>37</v>
      </c>
      <c r="N43" s="353" t="s">
        <v>104</v>
      </c>
    </row>
    <row r="44" spans="1:17" ht="45" customHeight="1">
      <c r="A44" s="338"/>
      <c r="B44" s="339"/>
      <c r="C44" s="339"/>
      <c r="D44" s="61" t="s">
        <v>22</v>
      </c>
      <c r="E44" s="61">
        <v>9000</v>
      </c>
      <c r="F44" s="61"/>
      <c r="G44" s="340"/>
      <c r="H44" s="361"/>
      <c r="I44" s="361"/>
      <c r="J44" s="361"/>
      <c r="K44" s="361"/>
      <c r="L44" s="361"/>
      <c r="M44" s="63"/>
      <c r="N44" s="353"/>
    </row>
    <row r="45" spans="1:17" ht="64.5" customHeight="1">
      <c r="A45" s="114" t="s">
        <v>49</v>
      </c>
      <c r="B45" s="62">
        <v>42223</v>
      </c>
      <c r="C45" s="169">
        <v>44926</v>
      </c>
      <c r="D45" s="61" t="s">
        <v>22</v>
      </c>
      <c r="E45" s="61">
        <v>60000</v>
      </c>
      <c r="F45" s="61"/>
      <c r="G45" s="77">
        <v>10460</v>
      </c>
      <c r="H45" s="72"/>
      <c r="I45" s="183">
        <v>5488.7875800000002</v>
      </c>
      <c r="J45" s="183"/>
      <c r="K45" s="183">
        <f>46080.0495+I45</f>
        <v>51568.837079999998</v>
      </c>
      <c r="L45" s="183"/>
      <c r="M45" s="63"/>
      <c r="N45" s="105" t="s">
        <v>105</v>
      </c>
    </row>
    <row r="46" spans="1:17" s="10" customFormat="1" ht="47.25" customHeight="1">
      <c r="A46" s="114" t="s">
        <v>50</v>
      </c>
      <c r="B46" s="62">
        <v>42136</v>
      </c>
      <c r="C46" s="231">
        <v>44328</v>
      </c>
      <c r="D46" s="61" t="s">
        <v>28</v>
      </c>
      <c r="E46" s="61">
        <v>4300</v>
      </c>
      <c r="F46" s="61">
        <v>1843</v>
      </c>
      <c r="G46" s="77">
        <v>420</v>
      </c>
      <c r="H46" s="72">
        <v>300</v>
      </c>
      <c r="I46" s="183"/>
      <c r="J46" s="183"/>
      <c r="K46" s="183">
        <f>967.42234+I46</f>
        <v>967.42233999999996</v>
      </c>
      <c r="L46" s="183"/>
      <c r="M46" s="63"/>
      <c r="N46" s="105" t="s">
        <v>106</v>
      </c>
    </row>
    <row r="47" spans="1:17" s="4" customFormat="1" ht="67.5" customHeight="1">
      <c r="A47" s="114" t="s">
        <v>95</v>
      </c>
      <c r="B47" s="155">
        <v>43285</v>
      </c>
      <c r="C47" s="156">
        <v>44016</v>
      </c>
      <c r="D47" s="152" t="s">
        <v>28</v>
      </c>
      <c r="E47" s="152">
        <v>2830</v>
      </c>
      <c r="F47" s="152">
        <v>1870</v>
      </c>
      <c r="G47" s="152">
        <v>3350</v>
      </c>
      <c r="H47" s="152">
        <v>650</v>
      </c>
      <c r="I47" s="183">
        <v>1029.02</v>
      </c>
      <c r="J47" s="183"/>
      <c r="K47" s="183">
        <f>I47</f>
        <v>1029.02</v>
      </c>
      <c r="L47" s="294">
        <f>J47</f>
        <v>0</v>
      </c>
      <c r="M47" s="157" t="s">
        <v>38</v>
      </c>
      <c r="N47" s="153" t="s">
        <v>128</v>
      </c>
    </row>
    <row r="48" spans="1:17" s="4" customFormat="1" ht="86.25" customHeight="1">
      <c r="A48" s="114" t="s">
        <v>55</v>
      </c>
      <c r="B48" s="62">
        <v>42411</v>
      </c>
      <c r="C48" s="169">
        <v>43830</v>
      </c>
      <c r="D48" s="61" t="s">
        <v>28</v>
      </c>
      <c r="E48" s="61">
        <v>100000</v>
      </c>
      <c r="F48" s="61"/>
      <c r="G48" s="77">
        <v>64000</v>
      </c>
      <c r="H48" s="72"/>
      <c r="I48" s="183">
        <v>32472.461019999999</v>
      </c>
      <c r="J48" s="183"/>
      <c r="K48" s="183">
        <f>179487.59099+I48</f>
        <v>211960.05200999998</v>
      </c>
      <c r="L48" s="183"/>
      <c r="M48" s="63"/>
      <c r="N48" s="105" t="s">
        <v>107</v>
      </c>
    </row>
    <row r="49" spans="1:15" s="4" customFormat="1" ht="56.25" customHeight="1">
      <c r="A49" s="114" t="s">
        <v>62</v>
      </c>
      <c r="B49" s="123">
        <v>42713</v>
      </c>
      <c r="C49" s="123">
        <v>44561</v>
      </c>
      <c r="D49" s="120" t="s">
        <v>28</v>
      </c>
      <c r="E49" s="120">
        <v>100000</v>
      </c>
      <c r="F49" s="120"/>
      <c r="G49" s="120"/>
      <c r="H49" s="121"/>
      <c r="I49" s="183"/>
      <c r="J49" s="183"/>
      <c r="K49" s="294">
        <f>I49</f>
        <v>0</v>
      </c>
      <c r="L49" s="183"/>
      <c r="M49" s="126"/>
      <c r="N49" s="125" t="s">
        <v>108</v>
      </c>
    </row>
    <row r="50" spans="1:15" s="4" customFormat="1" ht="96" customHeight="1">
      <c r="A50" s="138" t="s">
        <v>150</v>
      </c>
      <c r="B50" s="207">
        <v>43805</v>
      </c>
      <c r="C50" s="207">
        <v>44926</v>
      </c>
      <c r="D50" s="208" t="s">
        <v>28</v>
      </c>
      <c r="E50" s="208">
        <v>13550</v>
      </c>
      <c r="F50" s="208"/>
      <c r="G50" s="208"/>
      <c r="H50" s="208"/>
      <c r="I50" s="208"/>
      <c r="J50" s="208"/>
      <c r="K50" s="295">
        <f t="shared" ref="K50:K52" si="2">I50</f>
        <v>0</v>
      </c>
      <c r="L50" s="208"/>
      <c r="M50" s="210"/>
      <c r="N50" s="150" t="s">
        <v>157</v>
      </c>
    </row>
    <row r="51" spans="1:15" s="4" customFormat="1" ht="55.5" customHeight="1">
      <c r="A51" s="138" t="s">
        <v>151</v>
      </c>
      <c r="B51" s="243">
        <v>43798</v>
      </c>
      <c r="C51" s="243">
        <v>45280</v>
      </c>
      <c r="D51" s="244" t="s">
        <v>28</v>
      </c>
      <c r="E51" s="244">
        <v>17000</v>
      </c>
      <c r="F51" s="244"/>
      <c r="G51" s="244">
        <v>3500</v>
      </c>
      <c r="H51" s="244"/>
      <c r="I51" s="244">
        <v>13598.474319999999</v>
      </c>
      <c r="J51" s="244"/>
      <c r="K51" s="244">
        <f t="shared" si="2"/>
        <v>13598.474319999999</v>
      </c>
      <c r="L51" s="244"/>
      <c r="M51" s="248"/>
      <c r="N51" s="150" t="s">
        <v>166</v>
      </c>
    </row>
    <row r="52" spans="1:15" s="4" customFormat="1" ht="53.25" customHeight="1">
      <c r="A52" s="138" t="s">
        <v>152</v>
      </c>
      <c r="B52" s="155">
        <v>44025</v>
      </c>
      <c r="C52" s="155">
        <v>45291</v>
      </c>
      <c r="D52" s="285" t="s">
        <v>28</v>
      </c>
      <c r="E52" s="285">
        <v>5000</v>
      </c>
      <c r="F52" s="285"/>
      <c r="G52" s="244">
        <v>9400</v>
      </c>
      <c r="H52" s="244"/>
      <c r="I52" s="244">
        <v>1684.3186700000001</v>
      </c>
      <c r="J52" s="244"/>
      <c r="K52" s="244">
        <f t="shared" si="2"/>
        <v>1684.3186700000001</v>
      </c>
      <c r="L52" s="244"/>
      <c r="M52" s="248"/>
      <c r="N52" s="150" t="s">
        <v>158</v>
      </c>
    </row>
    <row r="53" spans="1:15" s="4" customFormat="1" ht="116.25" customHeight="1">
      <c r="A53" s="138" t="s">
        <v>125</v>
      </c>
      <c r="B53" s="147">
        <v>41884</v>
      </c>
      <c r="C53" s="74">
        <v>43830</v>
      </c>
      <c r="D53" s="148" t="s">
        <v>28</v>
      </c>
      <c r="E53" s="148">
        <v>13200</v>
      </c>
      <c r="F53" s="148"/>
      <c r="G53" s="148"/>
      <c r="H53" s="148"/>
      <c r="I53" s="183"/>
      <c r="J53" s="193"/>
      <c r="K53" s="183">
        <f>30687.92141+I53</f>
        <v>30687.921409999999</v>
      </c>
      <c r="L53" s="183"/>
      <c r="M53" s="149" t="s">
        <v>38</v>
      </c>
      <c r="N53" s="150" t="s">
        <v>126</v>
      </c>
    </row>
    <row r="54" spans="1:15" s="4" customFormat="1" ht="68.25" customHeight="1">
      <c r="A54" s="114" t="s">
        <v>96</v>
      </c>
      <c r="B54" s="123">
        <v>43035</v>
      </c>
      <c r="C54" s="123">
        <v>44925</v>
      </c>
      <c r="D54" s="120" t="s">
        <v>28</v>
      </c>
      <c r="E54" s="120">
        <v>30000</v>
      </c>
      <c r="F54" s="120">
        <v>2000</v>
      </c>
      <c r="G54" s="120">
        <v>400</v>
      </c>
      <c r="H54" s="121">
        <v>300</v>
      </c>
      <c r="I54" s="183"/>
      <c r="J54" s="183">
        <v>316.85649999999998</v>
      </c>
      <c r="K54" s="183">
        <f>477.03306+I54</f>
        <v>477.03305999999998</v>
      </c>
      <c r="L54" s="183">
        <f>774.60558+J54</f>
        <v>1091.46208</v>
      </c>
      <c r="M54" s="126"/>
      <c r="N54" s="153" t="s">
        <v>129</v>
      </c>
    </row>
    <row r="55" spans="1:15" s="4" customFormat="1" ht="103.5" customHeight="1" thickBot="1">
      <c r="A55" s="115" t="s">
        <v>97</v>
      </c>
      <c r="B55" s="43" t="s">
        <v>110</v>
      </c>
      <c r="C55" s="43" t="s">
        <v>122</v>
      </c>
      <c r="D55" s="44" t="s">
        <v>28</v>
      </c>
      <c r="E55" s="44">
        <v>15000</v>
      </c>
      <c r="F55" s="44"/>
      <c r="G55" s="44">
        <v>27000</v>
      </c>
      <c r="H55" s="83"/>
      <c r="I55" s="83"/>
      <c r="J55" s="83"/>
      <c r="K55" s="183">
        <f>495.57+I55</f>
        <v>495.57</v>
      </c>
      <c r="L55" s="83"/>
      <c r="M55" s="45"/>
      <c r="N55" s="106" t="s">
        <v>124</v>
      </c>
    </row>
    <row r="56" spans="1:15" s="8" customFormat="1" ht="37.15" customHeight="1" thickBot="1">
      <c r="A56" s="349" t="s">
        <v>12</v>
      </c>
      <c r="B56" s="350"/>
      <c r="C56" s="350"/>
      <c r="D56" s="350"/>
      <c r="E56" s="350"/>
      <c r="F56" s="351"/>
      <c r="G56" s="38">
        <f>G57+G58+G61+G63+G64+G62+G60+G65</f>
        <v>121547</v>
      </c>
      <c r="H56" s="82">
        <f>H57+H58+H61+H63+H64+H62+H60+H65</f>
        <v>19450</v>
      </c>
      <c r="I56" s="82">
        <f t="shared" ref="I56:L56" si="3">I57+I58+I61+I63+I64+I62+I60+I65</f>
        <v>88671.831619999983</v>
      </c>
      <c r="J56" s="82">
        <f>J57+J58+J61+J63+J64+J62+J60+J65</f>
        <v>6188.8849100000007</v>
      </c>
      <c r="K56" s="82">
        <f>K57+K58+K61+K63+K64+K62+K60+K65</f>
        <v>992363.17634399992</v>
      </c>
      <c r="L56" s="82">
        <f t="shared" si="3"/>
        <v>116814.81068</v>
      </c>
      <c r="M56" s="39"/>
      <c r="N56" s="103"/>
      <c r="O56" s="12"/>
    </row>
    <row r="57" spans="1:15" ht="47.25" customHeight="1">
      <c r="A57" s="116" t="s">
        <v>20</v>
      </c>
      <c r="B57" s="46">
        <v>39626</v>
      </c>
      <c r="C57" s="232">
        <v>43983</v>
      </c>
      <c r="D57" s="31" t="s">
        <v>28</v>
      </c>
      <c r="E57" s="31">
        <v>3700</v>
      </c>
      <c r="F57" s="31">
        <v>1814</v>
      </c>
      <c r="G57" s="75">
        <v>800</v>
      </c>
      <c r="H57" s="84"/>
      <c r="I57" s="179">
        <v>304.50198999999998</v>
      </c>
      <c r="J57" s="194"/>
      <c r="K57" s="179">
        <f>9620.780944+I57</f>
        <v>9925.2829340000008</v>
      </c>
      <c r="L57" s="179">
        <f>3649.68102+J57</f>
        <v>3649.68102</v>
      </c>
      <c r="M57" s="47" t="s">
        <v>37</v>
      </c>
      <c r="N57" s="107" t="s">
        <v>109</v>
      </c>
    </row>
    <row r="58" spans="1:15" ht="228" customHeight="1">
      <c r="A58" s="363" t="s">
        <v>3</v>
      </c>
      <c r="B58" s="312">
        <v>40673</v>
      </c>
      <c r="C58" s="370">
        <v>44284</v>
      </c>
      <c r="D58" s="32" t="s">
        <v>21</v>
      </c>
      <c r="E58" s="32">
        <f>51343+25047+64205+23005</f>
        <v>163600</v>
      </c>
      <c r="F58" s="318"/>
      <c r="G58" s="318">
        <v>105000</v>
      </c>
      <c r="H58" s="335"/>
      <c r="I58" s="335">
        <v>71785.993229999993</v>
      </c>
      <c r="J58" s="336"/>
      <c r="K58" s="335">
        <f>682389.2256+I58</f>
        <v>754175.21883000003</v>
      </c>
      <c r="L58" s="335"/>
      <c r="M58" s="33" t="s">
        <v>6</v>
      </c>
      <c r="N58" s="303" t="s">
        <v>193</v>
      </c>
    </row>
    <row r="59" spans="1:15" ht="254.25" customHeight="1">
      <c r="A59" s="363"/>
      <c r="B59" s="312"/>
      <c r="C59" s="370"/>
      <c r="D59" s="32" t="s">
        <v>22</v>
      </c>
      <c r="E59" s="32">
        <f>108000+43000+99000</f>
        <v>250000</v>
      </c>
      <c r="F59" s="318"/>
      <c r="G59" s="318"/>
      <c r="H59" s="335"/>
      <c r="I59" s="335"/>
      <c r="J59" s="336"/>
      <c r="K59" s="335"/>
      <c r="L59" s="335"/>
      <c r="M59" s="33"/>
      <c r="N59" s="304"/>
    </row>
    <row r="60" spans="1:15" s="14" customFormat="1" ht="67.5" customHeight="1">
      <c r="A60" s="65" t="s">
        <v>89</v>
      </c>
      <c r="B60" s="90" t="s">
        <v>111</v>
      </c>
      <c r="C60" s="90" t="s">
        <v>112</v>
      </c>
      <c r="D60" s="94" t="s">
        <v>28</v>
      </c>
      <c r="E60" s="89">
        <v>100</v>
      </c>
      <c r="F60" s="69"/>
      <c r="G60" s="76"/>
      <c r="H60" s="66"/>
      <c r="I60" s="178"/>
      <c r="J60" s="94"/>
      <c r="K60" s="178">
        <f>35.07802+I60</f>
        <v>35.078020000000002</v>
      </c>
      <c r="L60" s="178"/>
      <c r="M60" s="78"/>
      <c r="N60" s="96" t="s">
        <v>113</v>
      </c>
    </row>
    <row r="61" spans="1:15" ht="201" customHeight="1">
      <c r="A61" s="65" t="s">
        <v>63</v>
      </c>
      <c r="B61" s="20">
        <v>40773</v>
      </c>
      <c r="C61" s="204">
        <v>44561</v>
      </c>
      <c r="D61" s="48" t="s">
        <v>28</v>
      </c>
      <c r="E61" s="48">
        <f>2988.339+4000+20000</f>
        <v>26988.339</v>
      </c>
      <c r="F61" s="48">
        <f>4500+6728.536+9000+4000+7000</f>
        <v>31228.536</v>
      </c>
      <c r="G61" s="76">
        <v>1500</v>
      </c>
      <c r="H61" s="66">
        <v>750</v>
      </c>
      <c r="I61" s="94">
        <v>2923.0856100000001</v>
      </c>
      <c r="J61" s="94"/>
      <c r="K61" s="178">
        <f>66449.64+I61</f>
        <v>69372.725609999994</v>
      </c>
      <c r="L61" s="94">
        <f>65489.76346+J61</f>
        <v>65489.763460000002</v>
      </c>
      <c r="M61" s="32" t="s">
        <v>7</v>
      </c>
      <c r="N61" s="64" t="s">
        <v>160</v>
      </c>
    </row>
    <row r="62" spans="1:15" ht="49.5" customHeight="1">
      <c r="A62" s="65" t="s">
        <v>71</v>
      </c>
      <c r="B62" s="20">
        <v>42360</v>
      </c>
      <c r="C62" s="20">
        <v>44012</v>
      </c>
      <c r="D62" s="32" t="s">
        <v>28</v>
      </c>
      <c r="E62" s="32">
        <v>30000</v>
      </c>
      <c r="F62" s="32">
        <v>2000</v>
      </c>
      <c r="G62" s="76">
        <v>14000</v>
      </c>
      <c r="H62" s="66">
        <v>13300</v>
      </c>
      <c r="I62" s="178">
        <v>12843.852220000001</v>
      </c>
      <c r="J62" s="178">
        <v>261.25905999999998</v>
      </c>
      <c r="K62" s="178">
        <f>50830.52773+I62</f>
        <v>63674.379950000002</v>
      </c>
      <c r="L62" s="178">
        <f>4989.21524+J62</f>
        <v>5250.4743000000008</v>
      </c>
      <c r="M62" s="32"/>
      <c r="N62" s="64" t="s">
        <v>114</v>
      </c>
    </row>
    <row r="63" spans="1:15" ht="43.5" customHeight="1">
      <c r="A63" s="65" t="s">
        <v>74</v>
      </c>
      <c r="B63" s="20">
        <v>41506</v>
      </c>
      <c r="C63" s="34">
        <v>43332</v>
      </c>
      <c r="D63" s="32" t="s">
        <v>28</v>
      </c>
      <c r="E63" s="32">
        <v>40000</v>
      </c>
      <c r="F63" s="32">
        <v>8000</v>
      </c>
      <c r="G63" s="76">
        <v>247</v>
      </c>
      <c r="H63" s="66">
        <v>51</v>
      </c>
      <c r="I63" s="178">
        <v>164.80431999999999</v>
      </c>
      <c r="J63" s="94">
        <v>33.755099999999999</v>
      </c>
      <c r="K63" s="178">
        <f>94366.09243+I63</f>
        <v>94530.89675</v>
      </c>
      <c r="L63" s="178">
        <f>19321.80063+J63</f>
        <v>19355.55573</v>
      </c>
      <c r="M63" s="33" t="s">
        <v>37</v>
      </c>
      <c r="N63" s="64" t="s">
        <v>115</v>
      </c>
    </row>
    <row r="64" spans="1:15" ht="49.5" customHeight="1">
      <c r="A64" s="272" t="s">
        <v>33</v>
      </c>
      <c r="B64" s="266">
        <v>41480</v>
      </c>
      <c r="C64" s="273" t="s">
        <v>127</v>
      </c>
      <c r="D64" s="267" t="s">
        <v>22</v>
      </c>
      <c r="E64" s="267"/>
      <c r="F64" s="267">
        <v>10052.155000000001</v>
      </c>
      <c r="G64" s="267"/>
      <c r="H64" s="268">
        <v>349</v>
      </c>
      <c r="I64" s="268"/>
      <c r="J64" s="269">
        <v>1530.4106200000001</v>
      </c>
      <c r="K64" s="268"/>
      <c r="L64" s="268">
        <f>20889.3313+J64</f>
        <v>22419.74192</v>
      </c>
      <c r="M64" s="270" t="s">
        <v>37</v>
      </c>
      <c r="N64" s="271" t="s">
        <v>81</v>
      </c>
    </row>
    <row r="65" spans="1:14" s="14" customFormat="1" ht="57" customHeight="1" thickBot="1">
      <c r="A65" s="276" t="s">
        <v>187</v>
      </c>
      <c r="B65" s="286">
        <v>43336</v>
      </c>
      <c r="C65" s="286">
        <v>45656</v>
      </c>
      <c r="D65" s="73" t="s">
        <v>28</v>
      </c>
      <c r="E65" s="73">
        <v>40000</v>
      </c>
      <c r="F65" s="73">
        <f>3000+6965</f>
        <v>9965</v>
      </c>
      <c r="G65" s="73"/>
      <c r="H65" s="73">
        <v>5000</v>
      </c>
      <c r="I65" s="73">
        <v>649.59424999999999</v>
      </c>
      <c r="J65" s="287">
        <v>4363.4601300000004</v>
      </c>
      <c r="K65" s="73">
        <f>I65</f>
        <v>649.59424999999999</v>
      </c>
      <c r="L65" s="73">
        <f>K65</f>
        <v>649.59424999999999</v>
      </c>
      <c r="M65" s="288"/>
      <c r="N65" s="68" t="s">
        <v>189</v>
      </c>
    </row>
    <row r="66" spans="1:14" s="8" customFormat="1" ht="30" customHeight="1" thickBot="1">
      <c r="A66" s="349" t="s">
        <v>9</v>
      </c>
      <c r="B66" s="350"/>
      <c r="C66" s="350"/>
      <c r="D66" s="350"/>
      <c r="E66" s="350"/>
      <c r="F66" s="351"/>
      <c r="G66" s="38">
        <f>G67+G68+G69+G70+G75+G71+G72+G73+G74+G76+G78+G77</f>
        <v>57500</v>
      </c>
      <c r="H66" s="82">
        <f t="shared" ref="H66:L66" si="4">H67+H68+H69+H70+H75+H71+H72+H73+H74+H76+H78+H77</f>
        <v>6500</v>
      </c>
      <c r="I66" s="82">
        <f t="shared" si="4"/>
        <v>25344.812857448</v>
      </c>
      <c r="J66" s="82">
        <f t="shared" si="4"/>
        <v>0</v>
      </c>
      <c r="K66" s="82">
        <f t="shared" si="4"/>
        <v>316712.13339244801</v>
      </c>
      <c r="L66" s="82">
        <f t="shared" si="4"/>
        <v>20950.680079999998</v>
      </c>
      <c r="M66" s="39"/>
      <c r="N66" s="103"/>
    </row>
    <row r="67" spans="1:14" ht="137.25" customHeight="1">
      <c r="A67" s="116" t="s">
        <v>94</v>
      </c>
      <c r="B67" s="99">
        <v>43105</v>
      </c>
      <c r="C67" s="99" t="s">
        <v>93</v>
      </c>
      <c r="D67" s="97" t="s">
        <v>28</v>
      </c>
      <c r="E67" s="97">
        <v>28000</v>
      </c>
      <c r="F67" s="97">
        <v>7000</v>
      </c>
      <c r="G67" s="75">
        <v>20000</v>
      </c>
      <c r="H67" s="84">
        <v>5000</v>
      </c>
      <c r="I67" s="179">
        <v>19734.899119999998</v>
      </c>
      <c r="J67" s="179"/>
      <c r="K67" s="179">
        <f>19889.77292+I67</f>
        <v>39624.672039999998</v>
      </c>
      <c r="L67" s="179"/>
      <c r="M67" s="47" t="s">
        <v>8</v>
      </c>
      <c r="N67" s="107" t="s">
        <v>162</v>
      </c>
    </row>
    <row r="68" spans="1:14" ht="52.15" customHeight="1">
      <c r="A68" s="118" t="s">
        <v>75</v>
      </c>
      <c r="B68" s="307">
        <v>41572</v>
      </c>
      <c r="C68" s="326">
        <v>44560</v>
      </c>
      <c r="D68" s="299" t="s">
        <v>28</v>
      </c>
      <c r="E68" s="299">
        <f>25200+35000</f>
        <v>60200</v>
      </c>
      <c r="F68" s="32">
        <v>8000</v>
      </c>
      <c r="G68" s="76">
        <v>6000</v>
      </c>
      <c r="H68" s="66"/>
      <c r="I68" s="178">
        <v>1532.379703978</v>
      </c>
      <c r="J68" s="178"/>
      <c r="K68" s="178">
        <f>93155.934555+I68</f>
        <v>94688.314258978004</v>
      </c>
      <c r="L68" s="178">
        <f>20950.68008+J68</f>
        <v>20950.680079999998</v>
      </c>
      <c r="M68" s="33" t="s">
        <v>30</v>
      </c>
      <c r="N68" s="357" t="s">
        <v>164</v>
      </c>
    </row>
    <row r="69" spans="1:14" s="10" customFormat="1" ht="51.75" customHeight="1">
      <c r="A69" s="118" t="s">
        <v>76</v>
      </c>
      <c r="B69" s="365"/>
      <c r="C69" s="369"/>
      <c r="D69" s="309"/>
      <c r="E69" s="309"/>
      <c r="F69" s="32"/>
      <c r="G69" s="76"/>
      <c r="H69" s="66"/>
      <c r="I69" s="178">
        <v>1077.0970400000001</v>
      </c>
      <c r="J69" s="178"/>
      <c r="K69" s="178">
        <f>53261.51993+I69</f>
        <v>54338.616970000003</v>
      </c>
      <c r="L69" s="178"/>
      <c r="M69" s="33"/>
      <c r="N69" s="357"/>
    </row>
    <row r="70" spans="1:14" ht="42.75" customHeight="1">
      <c r="A70" s="65" t="s">
        <v>67</v>
      </c>
      <c r="B70" s="308"/>
      <c r="C70" s="327"/>
      <c r="D70" s="300"/>
      <c r="E70" s="300"/>
      <c r="F70" s="32"/>
      <c r="G70" s="76"/>
      <c r="H70" s="66"/>
      <c r="I70" s="178"/>
      <c r="J70" s="94"/>
      <c r="K70" s="178">
        <f>5120.67471+I70</f>
        <v>5120.6747100000002</v>
      </c>
      <c r="L70" s="178"/>
      <c r="M70" s="33"/>
      <c r="N70" s="98" t="s">
        <v>163</v>
      </c>
    </row>
    <row r="71" spans="1:14" ht="51.75" customHeight="1">
      <c r="A71" s="65" t="s">
        <v>56</v>
      </c>
      <c r="B71" s="307">
        <v>41885</v>
      </c>
      <c r="C71" s="307">
        <v>44378</v>
      </c>
      <c r="D71" s="32" t="s">
        <v>22</v>
      </c>
      <c r="E71" s="318">
        <v>60000</v>
      </c>
      <c r="F71" s="32"/>
      <c r="G71" s="76">
        <v>8500</v>
      </c>
      <c r="H71" s="66"/>
      <c r="I71" s="178">
        <v>3000.4369934699998</v>
      </c>
      <c r="J71" s="94"/>
      <c r="K71" s="178">
        <f>118003.72586+I71</f>
        <v>121004.16285347</v>
      </c>
      <c r="L71" s="178"/>
      <c r="M71" s="33"/>
      <c r="N71" s="64" t="s">
        <v>117</v>
      </c>
    </row>
    <row r="72" spans="1:14" ht="42.75" customHeight="1">
      <c r="A72" s="65" t="s">
        <v>68</v>
      </c>
      <c r="B72" s="308"/>
      <c r="C72" s="308"/>
      <c r="D72" s="32" t="s">
        <v>22</v>
      </c>
      <c r="E72" s="377"/>
      <c r="F72" s="32"/>
      <c r="G72" s="76"/>
      <c r="H72" s="66"/>
      <c r="I72" s="178"/>
      <c r="J72" s="94"/>
      <c r="K72" s="178">
        <f>1935.69256+I72</f>
        <v>1935.69256</v>
      </c>
      <c r="L72" s="178"/>
      <c r="M72" s="33"/>
      <c r="N72" s="64" t="s">
        <v>165</v>
      </c>
    </row>
    <row r="73" spans="1:14" ht="153.75" customHeight="1">
      <c r="A73" s="65" t="s">
        <v>138</v>
      </c>
      <c r="B73" s="20"/>
      <c r="C73" s="20"/>
      <c r="D73" s="32" t="s">
        <v>28</v>
      </c>
      <c r="E73" s="32"/>
      <c r="F73" s="32"/>
      <c r="G73" s="76"/>
      <c r="H73" s="66"/>
      <c r="I73" s="178"/>
      <c r="J73" s="94"/>
      <c r="K73" s="296">
        <f>I73</f>
        <v>0</v>
      </c>
      <c r="L73" s="296"/>
      <c r="M73" s="33"/>
      <c r="N73" s="98" t="s">
        <v>79</v>
      </c>
    </row>
    <row r="74" spans="1:14" ht="68.25" customHeight="1">
      <c r="A74" s="65" t="s">
        <v>69</v>
      </c>
      <c r="B74" s="20"/>
      <c r="C74" s="20"/>
      <c r="D74" s="32"/>
      <c r="E74" s="32"/>
      <c r="F74" s="32"/>
      <c r="G74" s="176">
        <v>18000</v>
      </c>
      <c r="H74" s="66"/>
      <c r="I74" s="178"/>
      <c r="J74" s="94"/>
      <c r="K74" s="296">
        <f t="shared" ref="K74:K78" si="5">I74</f>
        <v>0</v>
      </c>
      <c r="L74" s="296"/>
      <c r="M74" s="33"/>
      <c r="N74" s="64" t="s">
        <v>73</v>
      </c>
    </row>
    <row r="75" spans="1:14" ht="84.75" customHeight="1">
      <c r="A75" s="65" t="s">
        <v>66</v>
      </c>
      <c r="B75" s="307">
        <v>42838</v>
      </c>
      <c r="C75" s="375">
        <v>44742</v>
      </c>
      <c r="D75" s="379" t="s">
        <v>28</v>
      </c>
      <c r="E75" s="299">
        <v>125000</v>
      </c>
      <c r="F75" s="32">
        <v>9900</v>
      </c>
      <c r="G75" s="134">
        <v>1000</v>
      </c>
      <c r="H75" s="135">
        <v>1500</v>
      </c>
      <c r="I75" s="178"/>
      <c r="J75" s="94"/>
      <c r="K75" s="296">
        <f>I75</f>
        <v>0</v>
      </c>
      <c r="L75" s="296">
        <f>J75</f>
        <v>0</v>
      </c>
      <c r="M75" s="33"/>
      <c r="N75" s="98" t="s">
        <v>116</v>
      </c>
    </row>
    <row r="76" spans="1:14" ht="105.75" customHeight="1">
      <c r="A76" s="145" t="s">
        <v>70</v>
      </c>
      <c r="B76" s="365"/>
      <c r="C76" s="378"/>
      <c r="D76" s="380"/>
      <c r="E76" s="309"/>
      <c r="F76" s="141"/>
      <c r="G76" s="141">
        <v>4000</v>
      </c>
      <c r="H76" s="142"/>
      <c r="I76" s="178"/>
      <c r="J76" s="94"/>
      <c r="K76" s="296">
        <f t="shared" si="5"/>
        <v>0</v>
      </c>
      <c r="L76" s="296"/>
      <c r="M76" s="143"/>
      <c r="N76" s="144" t="s">
        <v>176</v>
      </c>
    </row>
    <row r="77" spans="1:14" s="14" customFormat="1" ht="54" customHeight="1">
      <c r="A77" s="184" t="s">
        <v>99</v>
      </c>
      <c r="B77" s="365"/>
      <c r="C77" s="378"/>
      <c r="D77" s="380"/>
      <c r="E77" s="309"/>
      <c r="F77" s="176"/>
      <c r="G77" s="176"/>
      <c r="H77" s="178"/>
      <c r="I77" s="178"/>
      <c r="J77" s="94"/>
      <c r="K77" s="296">
        <f>I77</f>
        <v>0</v>
      </c>
      <c r="L77" s="296"/>
      <c r="M77" s="181"/>
      <c r="N77" s="182" t="s">
        <v>123</v>
      </c>
    </row>
    <row r="78" spans="1:14" s="14" customFormat="1" ht="49.9" customHeight="1" thickBot="1">
      <c r="A78" s="133" t="s">
        <v>98</v>
      </c>
      <c r="B78" s="180"/>
      <c r="C78" s="180"/>
      <c r="D78" s="176" t="s">
        <v>28</v>
      </c>
      <c r="E78" s="176">
        <v>100000</v>
      </c>
      <c r="F78" s="129"/>
      <c r="G78" s="129"/>
      <c r="H78" s="130"/>
      <c r="I78" s="178"/>
      <c r="J78" s="94"/>
      <c r="K78" s="296">
        <f t="shared" si="5"/>
        <v>0</v>
      </c>
      <c r="L78" s="296"/>
      <c r="M78" s="131"/>
      <c r="N78" s="132" t="s">
        <v>123</v>
      </c>
    </row>
    <row r="79" spans="1:14" s="14" customFormat="1" ht="38.25" customHeight="1" thickBot="1">
      <c r="A79" s="349" t="s">
        <v>14</v>
      </c>
      <c r="B79" s="350"/>
      <c r="C79" s="350"/>
      <c r="D79" s="350"/>
      <c r="E79" s="350"/>
      <c r="F79" s="351"/>
      <c r="G79" s="38">
        <f t="shared" ref="G79:L79" si="6">G80+G84+G85+G83</f>
        <v>40500</v>
      </c>
      <c r="H79" s="38">
        <f t="shared" si="6"/>
        <v>4000</v>
      </c>
      <c r="I79" s="82">
        <f t="shared" si="6"/>
        <v>11076.008810000001</v>
      </c>
      <c r="J79" s="82">
        <f t="shared" si="6"/>
        <v>3232.3812200000002</v>
      </c>
      <c r="K79" s="82">
        <f t="shared" si="6"/>
        <v>94807.685496000006</v>
      </c>
      <c r="L79" s="82">
        <f t="shared" si="6"/>
        <v>13696.280709999999</v>
      </c>
      <c r="M79" s="39"/>
      <c r="N79" s="103"/>
    </row>
    <row r="80" spans="1:14" s="14" customFormat="1" ht="60.75" customHeight="1">
      <c r="A80" s="362" t="s">
        <v>47</v>
      </c>
      <c r="B80" s="50">
        <v>42052</v>
      </c>
      <c r="C80" s="159">
        <v>44121</v>
      </c>
      <c r="D80" s="238" t="s">
        <v>21</v>
      </c>
      <c r="E80" s="238">
        <v>8610</v>
      </c>
      <c r="F80" s="238"/>
      <c r="G80" s="319">
        <v>4800</v>
      </c>
      <c r="H80" s="334">
        <v>4000</v>
      </c>
      <c r="I80" s="334">
        <v>3764.9680899999998</v>
      </c>
      <c r="J80" s="334">
        <v>3232.3812200000002</v>
      </c>
      <c r="K80" s="334">
        <f>25190.21929+I80</f>
        <v>28955.187379999999</v>
      </c>
      <c r="L80" s="334">
        <f>10463.89949+J80</f>
        <v>13696.280709999999</v>
      </c>
      <c r="M80" s="246"/>
      <c r="N80" s="354" t="s">
        <v>196</v>
      </c>
    </row>
    <row r="81" spans="1:14" s="14" customFormat="1" ht="57" customHeight="1">
      <c r="A81" s="363"/>
      <c r="B81" s="249">
        <v>41978</v>
      </c>
      <c r="C81" s="51">
        <v>42735</v>
      </c>
      <c r="D81" s="237" t="s">
        <v>22</v>
      </c>
      <c r="E81" s="237"/>
      <c r="F81" s="237">
        <v>500</v>
      </c>
      <c r="G81" s="318"/>
      <c r="H81" s="335"/>
      <c r="I81" s="335"/>
      <c r="J81" s="335"/>
      <c r="K81" s="335"/>
      <c r="L81" s="335"/>
      <c r="M81" s="245"/>
      <c r="N81" s="355"/>
    </row>
    <row r="82" spans="1:14" s="14" customFormat="1" ht="36" customHeight="1">
      <c r="A82" s="364"/>
      <c r="B82" s="254">
        <v>42052</v>
      </c>
      <c r="C82" s="255">
        <v>44121</v>
      </c>
      <c r="D82" s="256" t="s">
        <v>22</v>
      </c>
      <c r="E82" s="256"/>
      <c r="F82" s="256">
        <v>5300</v>
      </c>
      <c r="G82" s="368"/>
      <c r="H82" s="352"/>
      <c r="I82" s="352"/>
      <c r="J82" s="352"/>
      <c r="K82" s="352"/>
      <c r="L82" s="352"/>
      <c r="M82" s="257"/>
      <c r="N82" s="356"/>
    </row>
    <row r="83" spans="1:14" s="8" customFormat="1" ht="309.75" customHeight="1">
      <c r="A83" s="239" t="s">
        <v>153</v>
      </c>
      <c r="B83" s="240">
        <v>43486</v>
      </c>
      <c r="C83" s="253">
        <v>46022</v>
      </c>
      <c r="D83" s="235" t="s">
        <v>28</v>
      </c>
      <c r="E83" s="235">
        <v>16000</v>
      </c>
      <c r="F83" s="234"/>
      <c r="G83" s="234">
        <v>3600</v>
      </c>
      <c r="H83" s="235"/>
      <c r="I83" s="235">
        <v>249.62699000000001</v>
      </c>
      <c r="J83" s="235"/>
      <c r="K83" s="235">
        <f>I83</f>
        <v>249.62699000000001</v>
      </c>
      <c r="L83" s="235"/>
      <c r="M83" s="252"/>
      <c r="N83" s="297" t="s">
        <v>200</v>
      </c>
    </row>
    <row r="84" spans="1:14" s="8" customFormat="1" ht="61.9" customHeight="1">
      <c r="A84" s="373" t="s">
        <v>48</v>
      </c>
      <c r="B84" s="236">
        <v>41964</v>
      </c>
      <c r="C84" s="375">
        <v>44408</v>
      </c>
      <c r="D84" s="250" t="s">
        <v>21</v>
      </c>
      <c r="E84" s="237">
        <v>32400</v>
      </c>
      <c r="F84" s="237"/>
      <c r="G84" s="237">
        <v>18600</v>
      </c>
      <c r="H84" s="237"/>
      <c r="I84" s="241">
        <v>6414.3797599999998</v>
      </c>
      <c r="J84" s="242"/>
      <c r="K84" s="241">
        <f>52753.634536+I84</f>
        <v>59168.014295999994</v>
      </c>
      <c r="L84" s="241"/>
      <c r="M84" s="245"/>
      <c r="N84" s="298" t="s">
        <v>118</v>
      </c>
    </row>
    <row r="85" spans="1:14" s="14" customFormat="1" ht="66" customHeight="1" thickBot="1">
      <c r="A85" s="374"/>
      <c r="B85" s="261">
        <v>43920</v>
      </c>
      <c r="C85" s="376"/>
      <c r="D85" s="263" t="s">
        <v>28</v>
      </c>
      <c r="E85" s="262">
        <v>18200</v>
      </c>
      <c r="F85" s="237"/>
      <c r="G85" s="237">
        <v>13500</v>
      </c>
      <c r="H85" s="237"/>
      <c r="I85" s="241">
        <v>647.03396999999995</v>
      </c>
      <c r="J85" s="242"/>
      <c r="K85" s="241">
        <f>5787.82286+I85</f>
        <v>6434.8568300000006</v>
      </c>
      <c r="L85" s="241"/>
      <c r="M85" s="245"/>
      <c r="N85" s="247" t="s">
        <v>119</v>
      </c>
    </row>
    <row r="86" spans="1:14" ht="31.5" customHeight="1" thickBot="1">
      <c r="A86" s="349" t="s">
        <v>16</v>
      </c>
      <c r="B86" s="350"/>
      <c r="C86" s="350"/>
      <c r="D86" s="350"/>
      <c r="E86" s="350"/>
      <c r="F86" s="351"/>
      <c r="G86" s="38">
        <f t="shared" ref="G86:L86" si="7">G87+G88</f>
        <v>0</v>
      </c>
      <c r="H86" s="82">
        <f t="shared" si="7"/>
        <v>4600</v>
      </c>
      <c r="I86" s="82">
        <f t="shared" si="7"/>
        <v>0</v>
      </c>
      <c r="J86" s="82">
        <f t="shared" si="7"/>
        <v>2114.67875</v>
      </c>
      <c r="K86" s="82">
        <f t="shared" si="7"/>
        <v>0</v>
      </c>
      <c r="L86" s="82">
        <f t="shared" si="7"/>
        <v>28387.113149999997</v>
      </c>
      <c r="M86" s="53"/>
      <c r="N86" s="82"/>
    </row>
    <row r="87" spans="1:14" ht="160.5" customHeight="1">
      <c r="A87" s="116" t="s">
        <v>13</v>
      </c>
      <c r="B87" s="50">
        <v>40119</v>
      </c>
      <c r="C87" s="264">
        <v>44196</v>
      </c>
      <c r="D87" s="31" t="s">
        <v>28</v>
      </c>
      <c r="E87" s="31"/>
      <c r="F87" s="31">
        <v>2267</v>
      </c>
      <c r="G87" s="75">
        <v>0</v>
      </c>
      <c r="H87" s="177">
        <v>2500</v>
      </c>
      <c r="I87" s="179"/>
      <c r="J87" s="194">
        <v>523.03467000000001</v>
      </c>
      <c r="K87" s="179"/>
      <c r="L87" s="179">
        <f>7453.02009+J87</f>
        <v>7976.05476</v>
      </c>
      <c r="M87" s="47" t="s">
        <v>41</v>
      </c>
      <c r="N87" s="107" t="s">
        <v>120</v>
      </c>
    </row>
    <row r="88" spans="1:14" ht="219" customHeight="1" thickBot="1">
      <c r="A88" s="117" t="s">
        <v>4</v>
      </c>
      <c r="B88" s="52">
        <v>40589</v>
      </c>
      <c r="C88" s="265" t="s">
        <v>179</v>
      </c>
      <c r="D88" s="49" t="s">
        <v>28</v>
      </c>
      <c r="E88" s="36"/>
      <c r="F88" s="36">
        <v>8250</v>
      </c>
      <c r="G88" s="36">
        <v>0</v>
      </c>
      <c r="H88" s="36">
        <v>2100</v>
      </c>
      <c r="I88" s="73"/>
      <c r="J88" s="73">
        <v>1591.64408</v>
      </c>
      <c r="K88" s="73"/>
      <c r="L88" s="73">
        <f>18819.41431+J88</f>
        <v>20411.058389999998</v>
      </c>
      <c r="M88" s="37" t="s">
        <v>41</v>
      </c>
      <c r="N88" s="108" t="s">
        <v>174</v>
      </c>
    </row>
    <row r="89" spans="1:14" ht="42.75" customHeight="1" thickBot="1">
      <c r="A89" s="349" t="s">
        <v>15</v>
      </c>
      <c r="B89" s="350"/>
      <c r="C89" s="350"/>
      <c r="D89" s="350"/>
      <c r="E89" s="350"/>
      <c r="F89" s="351"/>
      <c r="G89" s="38">
        <f>G90+G99+G95+G96+G94+G97+G93+G100+G91+G98+G92</f>
        <v>185328</v>
      </c>
      <c r="H89" s="38">
        <f>H90+H99+H95+H96+H94+H97+H93+H100+H91+H98+H92</f>
        <v>4864</v>
      </c>
      <c r="I89" s="38">
        <f t="shared" ref="I89:L89" si="8">I90+I99+I95+I96+I94+I97+I93+I100+I91+I98+I92</f>
        <v>33599.538860000001</v>
      </c>
      <c r="J89" s="38">
        <f t="shared" si="8"/>
        <v>15257.5</v>
      </c>
      <c r="K89" s="38">
        <f t="shared" si="8"/>
        <v>273758.45652000001</v>
      </c>
      <c r="L89" s="38">
        <f t="shared" si="8"/>
        <v>15257.5</v>
      </c>
      <c r="M89" s="53"/>
      <c r="N89" s="82"/>
    </row>
    <row r="90" spans="1:14" s="8" customFormat="1" ht="71.5" customHeight="1">
      <c r="A90" s="211" t="s">
        <v>154</v>
      </c>
      <c r="B90" s="50">
        <v>43634</v>
      </c>
      <c r="C90" s="50">
        <v>46112</v>
      </c>
      <c r="D90" s="212" t="s">
        <v>28</v>
      </c>
      <c r="E90" s="205">
        <v>90000</v>
      </c>
      <c r="F90" s="205"/>
      <c r="G90" s="205">
        <v>5000</v>
      </c>
      <c r="H90" s="205"/>
      <c r="I90" s="221">
        <v>246.60973000000001</v>
      </c>
      <c r="J90" s="212"/>
      <c r="K90" s="275">
        <f>I90+736.5825</f>
        <v>983.19223</v>
      </c>
      <c r="L90" s="201"/>
      <c r="M90" s="209"/>
      <c r="N90" s="213" t="s">
        <v>167</v>
      </c>
    </row>
    <row r="91" spans="1:14" s="274" customFormat="1" ht="47.25" customHeight="1">
      <c r="A91" s="283" t="s">
        <v>185</v>
      </c>
      <c r="B91" s="214"/>
      <c r="C91" s="214"/>
      <c r="D91" s="215" t="s">
        <v>28</v>
      </c>
      <c r="E91" s="282"/>
      <c r="F91" s="282"/>
      <c r="G91" s="282">
        <v>29000</v>
      </c>
      <c r="H91" s="282">
        <v>1000</v>
      </c>
      <c r="I91" s="282"/>
      <c r="J91" s="215"/>
      <c r="K91" s="282"/>
      <c r="L91" s="282"/>
      <c r="M91" s="289"/>
      <c r="N91" s="216" t="s">
        <v>194</v>
      </c>
    </row>
    <row r="92" spans="1:14" s="8" customFormat="1" ht="194.5" customHeight="1">
      <c r="A92" s="260" t="s">
        <v>177</v>
      </c>
      <c r="B92" s="214">
        <v>43493</v>
      </c>
      <c r="C92" s="214">
        <v>44926</v>
      </c>
      <c r="D92" s="215" t="s">
        <v>28</v>
      </c>
      <c r="E92" s="259">
        <v>10000</v>
      </c>
      <c r="F92" s="234"/>
      <c r="G92" s="234">
        <v>0</v>
      </c>
      <c r="H92" s="234">
        <v>0</v>
      </c>
      <c r="I92" s="234"/>
      <c r="J92" s="251">
        <v>15257.5</v>
      </c>
      <c r="K92" s="234"/>
      <c r="L92" s="234">
        <f>J92</f>
        <v>15257.5</v>
      </c>
      <c r="M92" s="252"/>
      <c r="N92" s="258" t="s">
        <v>183</v>
      </c>
    </row>
    <row r="93" spans="1:14" s="195" customFormat="1" ht="63" customHeight="1">
      <c r="A93" s="206" t="s">
        <v>155</v>
      </c>
      <c r="B93" s="214">
        <v>43630</v>
      </c>
      <c r="C93" s="214">
        <v>45000</v>
      </c>
      <c r="D93" s="215" t="s">
        <v>28</v>
      </c>
      <c r="E93" s="202">
        <v>20000</v>
      </c>
      <c r="F93" s="201"/>
      <c r="G93" s="201">
        <v>1300</v>
      </c>
      <c r="H93" s="202">
        <v>1900</v>
      </c>
      <c r="I93" s="223"/>
      <c r="J93" s="215"/>
      <c r="K93" s="296">
        <f t="shared" ref="K93" si="9">I93</f>
        <v>0</v>
      </c>
      <c r="L93" s="196">
        <f>J93</f>
        <v>0</v>
      </c>
      <c r="M93" s="197"/>
      <c r="N93" s="216" t="s">
        <v>168</v>
      </c>
    </row>
    <row r="94" spans="1:14" s="195" customFormat="1" ht="57.75" customHeight="1">
      <c r="A94" s="167" t="s">
        <v>65</v>
      </c>
      <c r="B94" s="20">
        <v>42661</v>
      </c>
      <c r="C94" s="20">
        <v>44377</v>
      </c>
      <c r="D94" s="32" t="s">
        <v>28</v>
      </c>
      <c r="E94" s="32">
        <v>14000</v>
      </c>
      <c r="F94" s="32"/>
      <c r="G94" s="186">
        <v>1186</v>
      </c>
      <c r="H94" s="188">
        <v>314</v>
      </c>
      <c r="I94" s="233">
        <v>391.46663000000001</v>
      </c>
      <c r="J94" s="186"/>
      <c r="K94" s="186">
        <f>I94</f>
        <v>391.46663000000001</v>
      </c>
      <c r="L94" s="198">
        <v>0</v>
      </c>
      <c r="M94" s="33"/>
      <c r="N94" s="140" t="s">
        <v>130</v>
      </c>
    </row>
    <row r="95" spans="1:14" ht="46.5" customHeight="1">
      <c r="A95" s="118" t="s">
        <v>54</v>
      </c>
      <c r="B95" s="20">
        <v>42346</v>
      </c>
      <c r="C95" s="20">
        <v>43228</v>
      </c>
      <c r="D95" s="32" t="s">
        <v>28</v>
      </c>
      <c r="E95" s="32">
        <v>82821</v>
      </c>
      <c r="F95" s="32"/>
      <c r="G95" s="186">
        <v>5000</v>
      </c>
      <c r="H95" s="188"/>
      <c r="I95" s="218"/>
      <c r="J95" s="186"/>
      <c r="K95" s="186">
        <f>226048.34892+I95</f>
        <v>226048.34891999999</v>
      </c>
      <c r="L95" s="186"/>
      <c r="M95" s="33"/>
      <c r="N95" s="64" t="s">
        <v>80</v>
      </c>
    </row>
    <row r="96" spans="1:14" s="8" customFormat="1" ht="59.5" customHeight="1">
      <c r="A96" s="118" t="s">
        <v>64</v>
      </c>
      <c r="B96" s="20">
        <v>42929</v>
      </c>
      <c r="C96" s="229">
        <v>44025</v>
      </c>
      <c r="D96" s="32" t="s">
        <v>28</v>
      </c>
      <c r="E96" s="32">
        <v>5500</v>
      </c>
      <c r="F96" s="32">
        <v>1500</v>
      </c>
      <c r="G96" s="200">
        <v>2500</v>
      </c>
      <c r="H96" s="188">
        <v>1650</v>
      </c>
      <c r="I96" s="218"/>
      <c r="J96" s="186"/>
      <c r="K96" s="186">
        <f>8749.28036+I96</f>
        <v>8749.2803600000007</v>
      </c>
      <c r="L96" s="198">
        <v>0</v>
      </c>
      <c r="M96" s="33"/>
      <c r="N96" s="139" t="s">
        <v>121</v>
      </c>
    </row>
    <row r="97" spans="1:14" ht="36.75" customHeight="1">
      <c r="A97" s="136" t="s">
        <v>197</v>
      </c>
      <c r="B97" s="230">
        <v>43798</v>
      </c>
      <c r="C97" s="230">
        <v>44915</v>
      </c>
      <c r="D97" s="267" t="s">
        <v>28</v>
      </c>
      <c r="E97" s="128">
        <v>80000</v>
      </c>
      <c r="F97" s="128"/>
      <c r="G97" s="200">
        <v>100000</v>
      </c>
      <c r="H97" s="190"/>
      <c r="I97" s="220">
        <v>24523.36289</v>
      </c>
      <c r="J97" s="187"/>
      <c r="K97" s="293">
        <f>I97</f>
        <v>24523.36289</v>
      </c>
      <c r="L97" s="199"/>
      <c r="M97" s="137"/>
      <c r="N97" s="224" t="s">
        <v>123</v>
      </c>
    </row>
    <row r="98" spans="1:14" s="14" customFormat="1" ht="43.5" customHeight="1">
      <c r="A98" s="136" t="s">
        <v>186</v>
      </c>
      <c r="B98" s="284">
        <v>43950</v>
      </c>
      <c r="C98" s="284">
        <v>45280</v>
      </c>
      <c r="D98" s="278" t="s">
        <v>28</v>
      </c>
      <c r="E98" s="281">
        <v>75000</v>
      </c>
      <c r="F98" s="281"/>
      <c r="G98" s="278">
        <v>15000</v>
      </c>
      <c r="H98" s="281"/>
      <c r="I98" s="281"/>
      <c r="J98" s="281"/>
      <c r="K98" s="290"/>
      <c r="L98" s="290"/>
      <c r="M98" s="291"/>
      <c r="N98" s="279" t="s">
        <v>188</v>
      </c>
    </row>
    <row r="99" spans="1:14" ht="117.75" customHeight="1">
      <c r="A99" s="136" t="s">
        <v>53</v>
      </c>
      <c r="B99" s="307">
        <v>42457</v>
      </c>
      <c r="C99" s="307">
        <v>44316</v>
      </c>
      <c r="D99" s="299" t="s">
        <v>22</v>
      </c>
      <c r="E99" s="299">
        <v>23500</v>
      </c>
      <c r="F99" s="220"/>
      <c r="G99" s="218">
        <v>20000</v>
      </c>
      <c r="H99" s="225"/>
      <c r="I99" s="292">
        <v>7242.1848900000005</v>
      </c>
      <c r="J99" s="220"/>
      <c r="K99" s="293">
        <f>4624.70588+I99</f>
        <v>11866.890770000002</v>
      </c>
      <c r="L99" s="199"/>
      <c r="M99" s="137"/>
      <c r="N99" s="216" t="s">
        <v>133</v>
      </c>
    </row>
    <row r="100" spans="1:14" s="195" customFormat="1" ht="45.75" customHeight="1" thickBot="1">
      <c r="A100" s="117" t="s">
        <v>161</v>
      </c>
      <c r="B100" s="381"/>
      <c r="C100" s="381"/>
      <c r="D100" s="382"/>
      <c r="E100" s="382"/>
      <c r="F100" s="36"/>
      <c r="G100" s="36">
        <v>6342</v>
      </c>
      <c r="H100" s="73"/>
      <c r="I100" s="73">
        <v>1195.91472</v>
      </c>
      <c r="J100" s="36"/>
      <c r="K100" s="36">
        <f>I100</f>
        <v>1195.91472</v>
      </c>
      <c r="L100" s="36"/>
      <c r="M100" s="37"/>
      <c r="N100" s="68" t="s">
        <v>159</v>
      </c>
    </row>
    <row r="101" spans="1:14" ht="48.75" customHeight="1" thickBot="1">
      <c r="A101" s="119"/>
      <c r="B101" s="54"/>
      <c r="C101" s="54"/>
      <c r="D101" s="55"/>
      <c r="E101" s="56"/>
      <c r="F101" s="38" t="s">
        <v>24</v>
      </c>
      <c r="G101" s="38">
        <f t="shared" ref="G101:L101" si="10">G7+G37+G56+G66+G79+G86+G89</f>
        <v>1032570.5</v>
      </c>
      <c r="H101" s="82">
        <f t="shared" si="10"/>
        <v>48349</v>
      </c>
      <c r="I101" s="82">
        <f t="shared" si="10"/>
        <v>608429.27154744789</v>
      </c>
      <c r="J101" s="82">
        <f t="shared" si="10"/>
        <v>33179.419849999998</v>
      </c>
      <c r="K101" s="82">
        <f t="shared" si="10"/>
        <v>5507838.2864424475</v>
      </c>
      <c r="L101" s="82">
        <f t="shared" si="10"/>
        <v>254614.48919999995</v>
      </c>
      <c r="M101" s="56"/>
      <c r="N101" s="82"/>
    </row>
    <row r="102" spans="1:14" ht="12" customHeight="1">
      <c r="A102" s="19"/>
      <c r="B102" s="18"/>
      <c r="C102" s="18"/>
      <c r="D102" s="19"/>
      <c r="E102" s="19"/>
      <c r="F102" s="19"/>
      <c r="G102" s="85"/>
      <c r="H102" s="19"/>
      <c r="I102" s="19"/>
      <c r="J102" s="19"/>
      <c r="K102" s="19"/>
      <c r="L102" s="19"/>
      <c r="M102" s="19"/>
      <c r="N102" s="13"/>
    </row>
    <row r="103" spans="1:14" s="14" customFormat="1" ht="24" customHeight="1">
      <c r="A103" s="372" t="s">
        <v>77</v>
      </c>
      <c r="B103" s="372"/>
      <c r="C103" s="372"/>
      <c r="D103" s="372"/>
      <c r="E103" s="372"/>
      <c r="F103" s="372"/>
      <c r="G103" s="372"/>
      <c r="H103" s="372"/>
      <c r="I103" s="372"/>
      <c r="J103" s="372"/>
      <c r="K103" s="372"/>
      <c r="L103" s="372"/>
      <c r="M103" s="372"/>
      <c r="N103" s="372"/>
    </row>
    <row r="104" spans="1:14" s="10" customFormat="1" ht="30.75" customHeight="1">
      <c r="A104" s="14" t="s">
        <v>78</v>
      </c>
      <c r="B104" s="16"/>
      <c r="C104" s="16"/>
      <c r="D104" s="14"/>
      <c r="E104" s="14"/>
      <c r="F104" s="14"/>
      <c r="G104" s="5"/>
      <c r="H104" s="14"/>
      <c r="I104" s="146"/>
      <c r="J104" s="14"/>
      <c r="K104" s="15"/>
      <c r="L104" s="14"/>
      <c r="M104" s="14"/>
      <c r="N104" s="17"/>
    </row>
    <row r="105" spans="1:14" s="7" customFormat="1" ht="29.25" customHeight="1">
      <c r="A105" s="14"/>
      <c r="B105" s="6"/>
      <c r="C105" s="3"/>
      <c r="D105" s="1"/>
      <c r="E105" s="1"/>
      <c r="F105" s="1"/>
      <c r="G105" s="5"/>
      <c r="H105" s="1"/>
      <c r="I105" s="14"/>
      <c r="J105" s="14"/>
      <c r="K105" s="14"/>
      <c r="L105" s="14"/>
      <c r="M105" s="5"/>
      <c r="N105" s="17"/>
    </row>
    <row r="106" spans="1:14" ht="8.25" customHeight="1">
      <c r="G106" s="86"/>
      <c r="J106" s="15"/>
    </row>
    <row r="107" spans="1:14" ht="24" customHeight="1">
      <c r="G107" s="23"/>
      <c r="H107" s="9"/>
      <c r="I107" s="9"/>
      <c r="J107" s="9"/>
      <c r="K107" s="127"/>
      <c r="L107" s="127"/>
    </row>
    <row r="108" spans="1:14" ht="27" customHeight="1">
      <c r="G108" s="86"/>
      <c r="H108" s="2" t="s">
        <v>156</v>
      </c>
      <c r="I108" s="9"/>
      <c r="J108" s="15"/>
      <c r="K108" s="15"/>
      <c r="L108" s="15"/>
    </row>
    <row r="109" spans="1:14">
      <c r="I109" s="15"/>
    </row>
    <row r="111" spans="1:14" ht="24.75" customHeight="1"/>
  </sheetData>
  <mergeCells count="159">
    <mergeCell ref="A103:N103"/>
    <mergeCell ref="A58:A59"/>
    <mergeCell ref="I43:I44"/>
    <mergeCell ref="H43:H44"/>
    <mergeCell ref="A86:F86"/>
    <mergeCell ref="A89:F89"/>
    <mergeCell ref="A84:A85"/>
    <mergeCell ref="C84:C85"/>
    <mergeCell ref="C71:C72"/>
    <mergeCell ref="E71:E72"/>
    <mergeCell ref="N58:N59"/>
    <mergeCell ref="C75:C77"/>
    <mergeCell ref="D75:D77"/>
    <mergeCell ref="E75:E77"/>
    <mergeCell ref="B99:B100"/>
    <mergeCell ref="C99:C100"/>
    <mergeCell ref="D99:D100"/>
    <mergeCell ref="E99:E100"/>
    <mergeCell ref="I41:I42"/>
    <mergeCell ref="L41:L42"/>
    <mergeCell ref="A80:A82"/>
    <mergeCell ref="B68:B70"/>
    <mergeCell ref="J41:J42"/>
    <mergeCell ref="K41:K42"/>
    <mergeCell ref="A66:F66"/>
    <mergeCell ref="A79:F79"/>
    <mergeCell ref="G80:G82"/>
    <mergeCell ref="B71:B72"/>
    <mergeCell ref="L58:L59"/>
    <mergeCell ref="K43:K44"/>
    <mergeCell ref="J43:J44"/>
    <mergeCell ref="C68:C70"/>
    <mergeCell ref="D68:D70"/>
    <mergeCell ref="E68:E70"/>
    <mergeCell ref="C58:C59"/>
    <mergeCell ref="F58:F59"/>
    <mergeCell ref="C41:C42"/>
    <mergeCell ref="A56:F56"/>
    <mergeCell ref="A41:A42"/>
    <mergeCell ref="B41:B42"/>
    <mergeCell ref="B75:B77"/>
    <mergeCell ref="C30:C31"/>
    <mergeCell ref="F8:F9"/>
    <mergeCell ref="L8:L9"/>
    <mergeCell ref="L12:L13"/>
    <mergeCell ref="K10:K11"/>
    <mergeCell ref="F30:F31"/>
    <mergeCell ref="A37:F37"/>
    <mergeCell ref="H80:H82"/>
    <mergeCell ref="N41:N42"/>
    <mergeCell ref="F41:F42"/>
    <mergeCell ref="I80:I82"/>
    <mergeCell ref="J80:J82"/>
    <mergeCell ref="K80:K82"/>
    <mergeCell ref="L80:L82"/>
    <mergeCell ref="N80:N82"/>
    <mergeCell ref="N68:N69"/>
    <mergeCell ref="N43:N44"/>
    <mergeCell ref="M41:M42"/>
    <mergeCell ref="G41:G42"/>
    <mergeCell ref="H41:H42"/>
    <mergeCell ref="I58:I59"/>
    <mergeCell ref="K58:K59"/>
    <mergeCell ref="J58:J59"/>
    <mergeCell ref="L43:L44"/>
    <mergeCell ref="A30:A31"/>
    <mergeCell ref="H58:H59"/>
    <mergeCell ref="B58:B59"/>
    <mergeCell ref="A43:A44"/>
    <mergeCell ref="B43:B44"/>
    <mergeCell ref="C43:C44"/>
    <mergeCell ref="G43:G44"/>
    <mergeCell ref="G58:G59"/>
    <mergeCell ref="N8:N9"/>
    <mergeCell ref="N12:N13"/>
    <mergeCell ref="N30:N31"/>
    <mergeCell ref="M30:M31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I30:I31"/>
    <mergeCell ref="J30:J31"/>
    <mergeCell ref="J8:J9"/>
    <mergeCell ref="H12:H13"/>
    <mergeCell ref="K30:K31"/>
    <mergeCell ref="K5:L5"/>
    <mergeCell ref="K4:L4"/>
    <mergeCell ref="J12:J13"/>
    <mergeCell ref="I8:I9"/>
    <mergeCell ref="L30:L31"/>
    <mergeCell ref="H10:H11"/>
    <mergeCell ref="H8:H9"/>
    <mergeCell ref="I25:I26"/>
    <mergeCell ref="B30:B31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30:G31"/>
    <mergeCell ref="H30:H31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  <mergeCell ref="B20:B21"/>
    <mergeCell ref="C20:C21"/>
    <mergeCell ref="D20:D21"/>
    <mergeCell ref="E19:E21"/>
    <mergeCell ref="A18:A19"/>
    <mergeCell ref="G18:G19"/>
    <mergeCell ref="K18:K19"/>
    <mergeCell ref="N18:N19"/>
    <mergeCell ref="L18:L19"/>
    <mergeCell ref="J18:J19"/>
    <mergeCell ref="I18:I19"/>
    <mergeCell ref="H18:H19"/>
    <mergeCell ref="G25:G26"/>
    <mergeCell ref="K25:K26"/>
    <mergeCell ref="N25:N26"/>
    <mergeCell ref="A25:A26"/>
    <mergeCell ref="H25:H26"/>
    <mergeCell ref="J25:J26"/>
    <mergeCell ref="L25:L26"/>
    <mergeCell ref="C25:C26"/>
    <mergeCell ref="D25:D26"/>
  </mergeCells>
  <printOptions horizontalCentered="1"/>
  <pageMargins left="0" right="0" top="0" bottom="0" header="0.3" footer="0.3"/>
  <pageSetup paperSize="9" scale="36" fitToHeight="0" orientation="landscape" r:id="rId1"/>
  <headerFooter alignWithMargins="0"/>
  <rowBreaks count="4" manualBreakCount="4">
    <brk id="44" max="13" man="1"/>
    <brk id="61" max="13" man="1"/>
    <brk id="82" max="13" man="1"/>
    <brk id="9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WEB-2020</vt:lpstr>
      <vt:lpstr>'WEB-2020'!Print_Area</vt:lpstr>
      <vt:lpstr>'WEB-2020'!Print_Titles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annrusieshvili@yahoo.com</cp:lastModifiedBy>
  <cp:lastPrinted>2020-09-02T09:48:29Z</cp:lastPrinted>
  <dcterms:created xsi:type="dcterms:W3CDTF">2011-04-14T08:42:21Z</dcterms:created>
  <dcterms:modified xsi:type="dcterms:W3CDTF">2020-09-02T10:00:15Z</dcterms:modified>
</cp:coreProperties>
</file>