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20\"/>
    </mc:Choice>
  </mc:AlternateContent>
  <bookViews>
    <workbookView xWindow="330" yWindow="555" windowWidth="28425" windowHeight="5835" tabRatio="177"/>
  </bookViews>
  <sheets>
    <sheet name="For Website_ENG" sheetId="12" r:id="rId1"/>
  </sheets>
  <externalReferences>
    <externalReference r:id="rId2"/>
    <externalReference r:id="rId3"/>
  </externalReferences>
  <definedNames>
    <definedName name="_xlnm.Print_Area" localSheetId="0">'For Website_ENG'!$A$1:$M$97</definedName>
    <definedName name="_xlnm.Print_Titles" localSheetId="0">'For Website_ENG'!$A:$A,'For Website_ENG'!$4:$6</definedName>
  </definedNames>
  <calcPr calcId="162913"/>
</workbook>
</file>

<file path=xl/calcChain.xml><?xml version="1.0" encoding="utf-8"?>
<calcChain xmlns="http://schemas.openxmlformats.org/spreadsheetml/2006/main">
  <c r="K93" i="12" l="1"/>
  <c r="K91" i="12"/>
  <c r="K90" i="12"/>
  <c r="K89" i="12"/>
  <c r="L86" i="12"/>
  <c r="L85" i="12"/>
  <c r="L83" i="12"/>
  <c r="K82" i="12"/>
  <c r="K81" i="12"/>
  <c r="L78" i="12"/>
  <c r="K78" i="12"/>
  <c r="K71" i="12"/>
  <c r="K70" i="12"/>
  <c r="K67" i="12"/>
  <c r="K66" i="12"/>
  <c r="K65" i="12"/>
  <c r="L63" i="12"/>
  <c r="L62" i="12"/>
  <c r="K62" i="12"/>
  <c r="L61" i="12"/>
  <c r="K61" i="12"/>
  <c r="L60" i="12"/>
  <c r="K60" i="12"/>
  <c r="K59" i="12"/>
  <c r="K57" i="12"/>
  <c r="L56" i="12"/>
  <c r="K56" i="12"/>
  <c r="K54" i="12"/>
  <c r="L53" i="12"/>
  <c r="K53" i="12"/>
  <c r="K52" i="12"/>
  <c r="K50" i="12"/>
  <c r="L48" i="12"/>
  <c r="K48" i="12"/>
  <c r="K47" i="12"/>
  <c r="K46" i="12"/>
  <c r="K44" i="12"/>
  <c r="K41" i="12"/>
  <c r="L40" i="12"/>
  <c r="K40" i="12"/>
  <c r="K39" i="12"/>
  <c r="L38" i="12"/>
  <c r="K38" i="12"/>
  <c r="K36" i="12"/>
  <c r="K35" i="12"/>
  <c r="K34" i="12"/>
  <c r="K33" i="12"/>
  <c r="K32" i="12"/>
  <c r="K30" i="12"/>
  <c r="K25" i="12"/>
  <c r="K24" i="12"/>
  <c r="K21" i="12"/>
  <c r="K20" i="12"/>
  <c r="K18" i="12"/>
  <c r="L17" i="12"/>
  <c r="K17" i="12"/>
  <c r="K16" i="12"/>
  <c r="K14" i="12"/>
  <c r="K12" i="12"/>
  <c r="K10" i="12"/>
  <c r="K8" i="12"/>
  <c r="L88" i="12" l="1"/>
  <c r="K43" i="12" l="1"/>
  <c r="I7" i="12" l="1"/>
  <c r="G37" i="12" l="1"/>
  <c r="L64" i="12" l="1"/>
  <c r="J64" i="12"/>
  <c r="I64" i="12"/>
  <c r="H64" i="12"/>
  <c r="G64" i="12"/>
  <c r="J37" i="12" l="1"/>
  <c r="I37" i="12"/>
  <c r="H37" i="12"/>
  <c r="G55" i="12"/>
  <c r="L37" i="12" l="1"/>
  <c r="K37" i="12"/>
  <c r="G77" i="12"/>
  <c r="K64" i="12"/>
  <c r="I77" i="12" l="1"/>
  <c r="J77" i="12"/>
  <c r="K77" i="12" l="1"/>
  <c r="I55" i="12" l="1"/>
  <c r="L77" i="12" l="1"/>
  <c r="F88" i="12" l="1"/>
  <c r="E66" i="12"/>
  <c r="F60" i="12"/>
  <c r="E60" i="12"/>
  <c r="E58" i="12"/>
  <c r="E57" i="12"/>
  <c r="E42" i="12"/>
  <c r="E41" i="12"/>
  <c r="J7" i="12" l="1"/>
  <c r="H7" i="12"/>
  <c r="G7" i="12"/>
  <c r="L7" i="12"/>
  <c r="K7" i="12" l="1"/>
  <c r="H87" i="12"/>
  <c r="G87" i="12"/>
  <c r="K87" i="12" l="1"/>
  <c r="I87" i="12" l="1"/>
  <c r="J87" i="12"/>
  <c r="L87" i="12"/>
  <c r="G84" i="12"/>
  <c r="G94" i="12" s="1"/>
  <c r="G99" i="12" s="1"/>
  <c r="H84" i="12"/>
  <c r="I84" i="12"/>
  <c r="J84" i="12"/>
  <c r="K84" i="12"/>
  <c r="L84" i="12"/>
  <c r="H77" i="12"/>
  <c r="H55" i="12" l="1"/>
  <c r="H94" i="12" s="1"/>
  <c r="H99" i="12" s="1"/>
  <c r="I94" i="12"/>
  <c r="I99" i="12" s="1"/>
  <c r="J55" i="12"/>
  <c r="J94" i="12" s="1"/>
  <c r="J99" i="12" s="1"/>
  <c r="K55" i="12"/>
  <c r="K94" i="12" s="1"/>
  <c r="K99" i="12" s="1"/>
  <c r="L55" i="12"/>
  <c r="L94" i="12" s="1"/>
  <c r="L99" i="12" s="1"/>
</calcChain>
</file>

<file path=xl/sharedStrings.xml><?xml version="1.0" encoding="utf-8"?>
<sst xmlns="http://schemas.openxmlformats.org/spreadsheetml/2006/main" count="244" uniqueCount="171">
  <si>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</si>
  <si>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</si>
  <si>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</si>
  <si>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</si>
  <si>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</si>
  <si>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</si>
  <si>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</si>
  <si>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</si>
  <si>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</si>
  <si>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</si>
  <si>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</si>
  <si>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</si>
  <si>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</si>
  <si>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</si>
  <si>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</si>
  <si>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</si>
  <si>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</si>
  <si>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</si>
  <si>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</si>
  <si>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</si>
  <si>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</si>
  <si>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Rehabilitation of Zemo Samgori Irrigation System (ORIO)</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</si>
  <si>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</si>
  <si>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</si>
  <si>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</si>
  <si>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</si>
  <si>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</si>
  <si>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</si>
  <si>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</si>
  <si>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</si>
  <si>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</si>
  <si>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</si>
  <si>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</si>
  <si>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</si>
  <si>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</si>
  <si>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</si>
  <si>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</si>
  <si>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</si>
  <si>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</si>
  <si>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</si>
  <si>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</si>
  <si>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</si>
  <si>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</si>
  <si>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</si>
  <si>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</si>
  <si>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</si>
  <si>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</si>
  <si>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</si>
  <si>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</si>
  <si>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First Regional Development Project (Kakheti)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</si>
  <si>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</si>
  <si>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</si>
  <si>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</si>
  <si>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</si>
  <si>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</si>
  <si>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</si>
  <si>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</si>
  <si>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</si>
  <si>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Georgia Solid Waste Management Project (EBRD)</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</si>
  <si>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</si>
  <si>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</si>
  <si>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</si>
  <si>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</si>
  <si>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</si>
  <si>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</si>
  <si>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Millennium Challenge Georgia - Compact II (MCC)</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</si>
  <si>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</si>
  <si>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</si>
  <si>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</si>
  <si>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</si>
  <si>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</si>
  <si>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</si>
  <si>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</si>
  <si>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</si>
  <si>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</si>
  <si>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</si>
  <si>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</si>
  <si>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</si>
  <si>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</si>
  <si>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</si>
  <si>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</si>
  <si>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</si>
  <si>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</si>
  <si>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</si>
  <si>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</si>
  <si>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</si>
  <si>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</si>
  <si>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</si>
  <si>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</si>
  <si>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</si>
  <si>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 xml:space="preserve"> -  Rehabilitation of infrastructure in Telavi, Kvareli and Akhmeta (municipal and communal infrastructure, rehabilitation of historical districts) (main works completed); 
 - Rehabilitation and improvement of cultural heritage sites (supportive infrastructure) in the Kakheti region (main works completed); 
 - Support for private sector in Agriculture and Tourism (completed).</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</si>
  <si>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</si>
  <si>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</si>
  <si>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Purchase of a new fleet of solid waste collection vehicles and solid waste containers (ongoing, approximately 150 waste-disposal vehicles and 7200 solid waste containers were purchased and given to municipalities).</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</si>
  <si>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</si>
  <si>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</si>
  <si>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</si>
  <si>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</si>
  <si>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</si>
  <si>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</si>
  <si>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</si>
  <si>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</si>
  <si>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</si>
  <si>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</si>
  <si>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</si>
  <si>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</si>
  <si>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Creation of:
 - Kazbegi National Park; 
 - Kintrishi Protected Area; 
 - Algeti National Park; 
 - Pshavi-Khevsureti Protected Area.
(Development of tourism Action and Investment plans are ongoing; Development of Management Plan for Algeti National Park has commenced; Tender for demarcation of Pshavi-Khevsureti protected territories is announced; Construction of building for Algeti National Park administration and for visitors has commenced; Construction of building for Kazbegi National Park administration and for visitors has commenced; Arrangement of exhibition hall for Prometheus Cave is ongoing; Development of draft law for the creation of protected landscape in Dusheti municipality is ongoing).</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</si>
  <si>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</si>
  <si>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</si>
  <si>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</si>
  <si>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</si>
  <si>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</si>
  <si>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</si>
  <si>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</si>
  <si>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</si>
  <si>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</si>
  <si>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</si>
  <si>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</si>
  <si>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</si>
  <si>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Amount envisaged in the State Budget 2019</t>
  </si>
  <si>
    <t>Expenditures made during the Year of 2019
(Actual expenditures) **</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</si>
  <si>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</si>
  <si>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</si>
  <si>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</si>
  <si>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</si>
  <si>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</si>
  <si>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</si>
  <si>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</si>
  <si>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</si>
  <si>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</si>
  <si>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</si>
  <si>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</si>
  <si>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</si>
  <si>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</si>
  <si>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</si>
  <si>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xml:space="preserve">  - Rehabilitation of Zemo Samgori Irrigation System.
Project Preparation Stage (Preparation stage for the necessary materials for the preparation of the relevant research and technical, social, environmental and institutional aspects of analysis is completed. The process of closing the project development phase is ongoing).  </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</si>
  <si>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</si>
  <si>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</si>
  <si>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</si>
  <si>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</si>
  <si>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 To  implement a regional municipal waste management system in Zugdidi (on the existing waste management base) and Gurjaani (village Melaani) that will serve Samegrelo-Zemo Svaneti and Kakheti regions (preparatory works are ongoing).</t>
  </si>
  <si>
    <t xml:space="preserve">Reconstruction - Rehabilitation and necessary efficiency improvements of approximately 25 public schools in Tbilisi. (preparatory works are ongoing). 
</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</si>
  <si>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</si>
  <si>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</si>
  <si>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</si>
  <si>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</si>
  <si>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r>
      <rPr>
        <b/>
        <sz val="12"/>
        <color theme="1"/>
        <rFont val="Franklin Gothic Book"/>
        <family val="2"/>
        <scheme val="minor"/>
      </rPr>
      <t xml:space="preserve"> Repairs/rehabilitation of public schools in the regions of Georgia </t>
    </r>
    <r>
      <rPr>
        <sz val="12"/>
        <rFont val="Franklin Gothic Book"/>
        <family val="2"/>
        <scheme val="minor"/>
      </rPr>
      <t xml:space="preserve">
- Rehabilitation of 86 public schools and equipping  80 public schools  with natural laboratories in Shida Kartli, Samtskhe-Javakheti, Racha-Lechkhumi and Kvemo Svaneti regions (completed); 
- Full rehabilitation of 5 public schools (is ongoing), 4 schools are located in western Georgia and 1  in Kakheti.  
</t>
    </r>
    <r>
      <rPr>
        <b/>
        <sz val="12"/>
        <rFont val="Franklin Gothic Book"/>
        <family val="2"/>
        <scheme val="minor"/>
      </rPr>
      <t>Improvement of  teacher's qualifications</t>
    </r>
    <r>
      <rPr>
        <sz val="12"/>
        <rFont val="Franklin Gothic Book"/>
        <family val="2"/>
        <scheme val="minor"/>
      </rPr>
      <t xml:space="preserve">
- In the framework of general professional training course 17,656  teachers were trained, including 1861 non-georgian language teacher. 12 339  (including 1 104 non-Georgian language teachers) teachers successfully completed all three modules of general professional course. 
- Within the course of the subject methodology (Physics, Mathematics, Biology, Chemistry, English and Information Technology) 14 859 teachers, including 1 229 non-georgian language teachers successfully completed the trainings.
</t>
    </r>
    <r>
      <rPr>
        <b/>
        <sz val="12"/>
        <rFont val="Franklin Gothic Book"/>
        <family val="2"/>
        <scheme val="minor"/>
      </rPr>
      <t>Increase qualification of school directors</t>
    </r>
    <r>
      <rPr>
        <sz val="12"/>
        <rFont val="Franklin Gothic Book"/>
        <family val="2"/>
        <scheme val="minor"/>
      </rPr>
      <t xml:space="preserve">
- 1 820 directors  (including 167 from non-Georgian language schools) successfully completed  the Academy Leadership 1.
-  1 621 directors  (including 182 from non-Georgian language schools) successfully completed  the Academy Leadership 2.
- 1 718 directors  (including 152 from non-Georgian language schools) successfully completed  the Academy Leadership 3.
</t>
    </r>
    <r>
      <rPr>
        <b/>
        <sz val="12"/>
        <rFont val="Franklin Gothic Book"/>
        <family val="2"/>
        <scheme val="minor"/>
      </rPr>
      <t xml:space="preserve">Higher and Vocational  Education </t>
    </r>
    <r>
      <rPr>
        <sz val="12"/>
        <rFont val="Franklin Gothic Book"/>
        <family val="2"/>
        <scheme val="minor"/>
      </rPr>
      <t xml:space="preserve"> 
- Within the framework of the Vocational Education project, 51 new vocational education programs in line with labor market requirements,  in 10 professional institutions were established;  
-  At three Patrinor Universities of Georgia (TSU, TSU, GTU) through  Unified National Test four groups of students were accepted at the San Diego State University, 77 professors at the San Diego State University  passed the professional development/training program, rehabilitation and laboratory equipping of 5000 sq.m academic space has been implemented in partner Georgian State Universities (TSU, TSU, GTU).</t>
    </r>
  </si>
  <si>
    <t>Implementation of energy efficiency activities in public buildings. (Implementation of renewable and alternative energy sources in administrative and educational buildings) (preparatory works are ongoing).</t>
  </si>
  <si>
    <t>Construction-Rehabilitaion of Chumateleti-Khevi section of Tbilisi-Senaki-Leselidze Road (construction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</si>
  <si>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</si>
  <si>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</si>
  <si>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Rehabilitation of secondary road connecting Dzirula-Kharagauli-Moliti-Pona-Chumateleti Road ( Dzirula-Moliti road rehabilitation - the constraction works are ongoing). </t>
  </si>
  <si>
    <t>Rehabilitation-reconstruction of the Khulo-Goderdzi Section of the Batumi-Akhaltsikhe Road Project (approximately 29 km 2 lane road) (Preparatory works are ongoing).</t>
  </si>
  <si>
    <t>Construction of Poti Bridge on River Rioni (ADB)</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</si>
  <si>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t>
  </si>
  <si>
    <t xml:space="preserve">- Construction of a new Kobuleti Bypass Road (approximately 32 km) (First section (12.4 + 1.3 km) of the Highway is open for traffic, construction works completed for second section (18 km), traffic is open);
- Detailed project preparation works completed for Khevi-Argveta section;
- Detailed project preparation works are ongoing for Tbilisi-Natakhtari-Zhinvali section.
</t>
  </si>
  <si>
    <t xml:space="preserve">  - Construction of Batumi Bypass two-lane 14.3 km Road (construction works are ongoing);
 - Maintenance of approximately 200 km International and Local roads (planned);
- Detailed project preparation works are ongoing for Batumi-Sarfi section. </t>
  </si>
  <si>
    <t xml:space="preserve">Upgrading of approximately 11 km of the existing 2-line East-West Highway Corridor to a  2-line dual carriageway from  Chumateleti to Khevi (mobilization and preparatory works are ongoing). </t>
  </si>
  <si>
    <t>Construction-Rehabilitation of Dzirula-Argveta section of Tbilisi-Senaki-Leselidze Road (ADB)</t>
  </si>
  <si>
    <t>Construction of Poti Bridge on River Rioni  (Tender on  construction of Poti bridge and access roads has been announced).</t>
  </si>
  <si>
    <t>Rehabilitation of secondary and local roads in different regions of Georgia (approx. 225 km in total) (The project was closed on June 30, 2019).</t>
  </si>
  <si>
    <t xml:space="preserve">As of December 31, 2019 (In thousand) </t>
  </si>
  <si>
    <t xml:space="preserve">  - Construction of the Zemo Osiauri - Chumateleti Section (approximately 14.1 km) of the Highway ( construction works are ongoing for Lot I, agreement for Lot II was terminated, out of which  for 1.9 km section (km-5 + 800-km-7 + 700) the contract was signed with the contracting company of Lot I - Sinohydro. Completion of km7.7 is planned for the end of July 2020, and tender for the remaining part of Lot II (km7.7-km 14.6) is planned in a short time );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(planned). </t>
  </si>
  <si>
    <t xml:space="preserve"> - Construction of a new four lane highway (approx. 52 km) from Samtredia to Grigoleti (construction works are going under the I, II and IV lots, III lot -   the procedures of  pre-qualification is ongoing , the deadline for submitting applications is February 04, 2020);
 - Road sections of Poti-Grigoleti and Grigoleti-Kobuleti Bypass Road (  preparation of the Detailed Design was completed);</t>
  </si>
  <si>
    <t>Construction of road and tunnel on Kvesheti-Kobi section of Mtskheta-Stepantsminda-Larsi Road. Road section: (Preparatory works are ongoing).</t>
  </si>
  <si>
    <t>Construction-Rehabilitation of Dzirula-Argveta section of Tbilisi-Senaki-Leselidze Road. (The signing of the  contract is scheduled in January).</t>
  </si>
  <si>
    <t>Construction of Lochini-Sagarejo (km20-km50) section of Tbilisi-Bakurtsikhe-Lagodekhi Road  (the procedures for identifying the funding sources are ongoing).</t>
  </si>
  <si>
    <t>Rehabilitation of secondary and local roads in different regions of Georgia (approx. 200 km in total) (an additional 12 road will be  rehabilitated within the project (approx. 80 km in total), out of which 10 sections are completed, 2 sections are under construction. 
-Detailed project preparation has been completed for Bakurtsikhe-Tsnori and Gurjaani-Telavi section.</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</si>
  <si>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(rehabilitation works were completed for two sections, the contract was terminated on lots I and II of Zhinvali-Barisakho section. Thre procedures for preparing the documentation  for re-tender is ongoing, which is scheduled to be announced in February 2020);
 -Monitoring and supervision of works contracts (supervision of rehabilitation works of 4 road sections is ongoing).</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</si>
  <si>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was completed; A final testing day has been set); Designing and construction of Mestia wastewater treatment plant rehabilitation (project works are ongoing);
 -Anaklia - Construction of Water Intake building; Construction/rehabilitation of water supply and wastewater networks (completed); construction of wastewater treatment plant (the storage procedures are ongoing); Construction/projecting of wastewater treatment plant (tendering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 project works are ongoing); 
- Construction of Abasha main line (constructions works are ongoing);
-  Construction of Water Supply System in Telavi  (the procedures for preparing tender documentation is ongoing); 
- Construction water and sewerage systems in Gudauri (construction works are ongoing); 
-  Constraction of wastewater treatment plant in Gudauri (project works are ongoing).
</t>
  </si>
  <si>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Preparation of the documentaion for signing the contract  for Tiriponi  irrigation system distribution network (G-3 distributor's internal network and G-3-2-1) and rehabilitation of its other distribution networks (Shida Kartli, Gori) is ongoing;
- Rehabilitation work is completing for the rehabilitation /modernization of Kvemo Alazani Distribution network (G-32 and G-35) and its other distribution networks (Kakheti, Gurjaani);
- Rehabilitation work is completing  for rehabilitation of Saltvisi irrigation system networks (alternative and Dzlevijvari networks ) and internal networks (Shida Kartli, Gori, Kareli);
- the construction works of the reservoir in  Iakublos is completing (Kvemo Kartli, Dmanisi);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</si>
</sst>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25">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quotePrefix="1" applyNumberFormat="1" applyFont="1" applyFill="1" applyBorder="1" applyAlignment="1">
      <alignment horizontal="center" vertical="center"/>
    </xf>
    <xf numFmtId="164" fontId="5" fillId="2" borderId="38" xfId="1" applyNumberFormat="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164" fontId="5" fillId="2" borderId="29"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164" fontId="6" fillId="2" borderId="32"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41"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49" fontId="7" fillId="0" borderId="33" xfId="1" applyNumberFormat="1" applyFont="1" applyFill="1" applyBorder="1" applyAlignment="1" applyProtection="1">
      <alignment horizontal="left" vertical="center" wrapText="1"/>
      <protection locked="0"/>
    </xf>
    <xf numFmtId="49" fontId="5" fillId="0" borderId="33" xfId="1" applyNumberFormat="1" applyFont="1" applyFill="1" applyBorder="1" applyAlignment="1">
      <alignment horizontal="left" vertical="center" wrapText="1"/>
    </xf>
    <xf numFmtId="165" fontId="7" fillId="0" borderId="40" xfId="1" applyNumberFormat="1" applyFont="1" applyFill="1" applyBorder="1" applyAlignment="1">
      <alignment vertical="center" wrapText="1"/>
    </xf>
    <xf numFmtId="164" fontId="7" fillId="0" borderId="40" xfId="1" applyNumberFormat="1" applyFont="1" applyFill="1" applyBorder="1" applyAlignment="1">
      <alignment vertical="center"/>
    </xf>
    <xf numFmtId="164" fontId="7" fillId="0" borderId="3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164" fontId="5" fillId="0" borderId="26" xfId="1" applyNumberFormat="1" applyFont="1" applyFill="1" applyBorder="1" applyAlignment="1">
      <alignment horizontal="center" vertical="center"/>
    </xf>
    <xf numFmtId="164" fontId="7" fillId="0" borderId="26" xfId="1" applyNumberFormat="1" applyFont="1" applyFill="1" applyBorder="1" applyAlignment="1">
      <alignment horizontal="center" vertical="center"/>
    </xf>
    <xf numFmtId="164" fontId="5" fillId="2" borderId="26"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xf numFmtId="165" fontId="5" fillId="0" borderId="39"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164" fontId="5" fillId="0" borderId="39"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165" fontId="7" fillId="0" borderId="3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164" fontId="7" fillId="2" borderId="39" xfId="1" applyNumberFormat="1" applyFont="1" applyFill="1" applyBorder="1" applyAlignment="1">
      <alignment horizontal="center" vertical="center"/>
    </xf>
    <xf numFmtId="164" fontId="7" fillId="2" borderId="40"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5" fillId="0" borderId="38" xfId="1" applyNumberFormat="1" applyFont="1" applyFill="1" applyBorder="1" applyAlignment="1">
      <alignment horizontal="center" vertical="center"/>
    </xf>
    <xf numFmtId="164" fontId="5" fillId="0" borderId="51" xfId="1" quotePrefix="1" applyNumberFormat="1" applyFont="1" applyFill="1" applyBorder="1" applyAlignment="1">
      <alignment horizontal="center" vertical="center"/>
    </xf>
    <xf numFmtId="164" fontId="5" fillId="0" borderId="52" xfId="1" quotePrefix="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7" fillId="0" borderId="32"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wrapText="1"/>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0" fontId="12" fillId="4" borderId="7" xfId="1" applyNumberFormat="1" applyFont="1" applyFill="1" applyBorder="1" applyAlignment="1">
      <alignment horizontal="center" vertical="center" wrapText="1"/>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center" wrapText="1"/>
      <protection locked="0"/>
    </xf>
    <xf numFmtId="49" fontId="7" fillId="0" borderId="54" xfId="1" applyNumberFormat="1" applyFont="1" applyFill="1" applyBorder="1" applyAlignment="1" applyProtection="1">
      <alignment horizontal="left" vertical="center" wrapText="1"/>
      <protection locked="0"/>
    </xf>
    <xf numFmtId="49" fontId="7" fillId="0" borderId="45"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0" fontId="1" fillId="0" borderId="32" xfId="0" applyFont="1" applyBorder="1" applyAlignment="1">
      <alignment horizontal="center" vertical="center"/>
    </xf>
    <xf numFmtId="165" fontId="5" fillId="0" borderId="40" xfId="1" applyNumberFormat="1" applyFont="1" applyFill="1" applyBorder="1" applyAlignment="1">
      <alignment horizontal="center" vertical="center" wrapText="1"/>
    </xf>
    <xf numFmtId="164" fontId="5" fillId="0" borderId="40"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October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December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3">
          <cell r="G93">
            <v>931125</v>
          </cell>
          <cell r="H93">
            <v>100400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4">
          <cell r="I94">
            <v>1056996.12457</v>
          </cell>
          <cell r="J94">
            <v>107349.8642</v>
          </cell>
          <cell r="K94">
            <v>5060470.0219550012</v>
          </cell>
          <cell r="L94">
            <v>581358.58891139994</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100"/>
  <sheetViews>
    <sheetView showGridLines="0" tabSelected="1" view="pageBreakPreview" topLeftCell="A88" zoomScale="60" zoomScaleNormal="60" zoomScalePageLayoutView="40" workbookViewId="0">
      <selection activeCell="M88" sqref="M88"/>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4" width="9.33203125" style="1" customWidth="1"/>
    <col min="15"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29.45" customHeight="1">
      <c r="A2" s="15" t="s">
        <v>111</v>
      </c>
      <c r="B2" s="16"/>
      <c r="C2" s="16"/>
      <c r="D2" s="15"/>
      <c r="E2" s="15"/>
      <c r="F2" s="15"/>
      <c r="G2" s="15"/>
      <c r="H2" s="15"/>
      <c r="I2" s="15"/>
      <c r="J2" s="15"/>
      <c r="K2" s="17"/>
      <c r="L2" s="15"/>
      <c r="M2" s="79"/>
    </row>
    <row r="3" spans="1:13" ht="27" customHeight="1" thickBot="1">
      <c r="A3" s="18" t="s">
        <v>161</v>
      </c>
      <c r="B3" s="19"/>
      <c r="C3" s="19"/>
      <c r="D3" s="20"/>
      <c r="E3" s="20"/>
      <c r="F3" s="20"/>
      <c r="G3" s="20"/>
      <c r="H3" s="20"/>
      <c r="I3" s="20"/>
      <c r="J3" s="20"/>
      <c r="K3" s="20"/>
      <c r="L3" s="20"/>
    </row>
    <row r="4" spans="1:13" s="6" customFormat="1" ht="54.6" customHeight="1">
      <c r="A4" s="199" t="s">
        <v>9</v>
      </c>
      <c r="B4" s="196" t="s">
        <v>69</v>
      </c>
      <c r="C4" s="196" t="s">
        <v>30</v>
      </c>
      <c r="D4" s="193" t="s">
        <v>29</v>
      </c>
      <c r="E4" s="193"/>
      <c r="F4" s="198"/>
      <c r="G4" s="192" t="s">
        <v>119</v>
      </c>
      <c r="H4" s="193"/>
      <c r="I4" s="192" t="s">
        <v>120</v>
      </c>
      <c r="J4" s="193"/>
      <c r="K4" s="213" t="s">
        <v>57</v>
      </c>
      <c r="L4" s="192"/>
      <c r="M4" s="209" t="s">
        <v>31</v>
      </c>
    </row>
    <row r="5" spans="1:13" s="6" customFormat="1" ht="50.45" customHeight="1" thickBot="1">
      <c r="A5" s="200"/>
      <c r="B5" s="197"/>
      <c r="C5" s="197"/>
      <c r="D5" s="201" t="s">
        <v>19</v>
      </c>
      <c r="E5" s="202"/>
      <c r="F5" s="203"/>
      <c r="G5" s="194" t="s">
        <v>6</v>
      </c>
      <c r="H5" s="195"/>
      <c r="I5" s="194" t="s">
        <v>6</v>
      </c>
      <c r="J5" s="195"/>
      <c r="K5" s="194" t="s">
        <v>6</v>
      </c>
      <c r="L5" s="195"/>
      <c r="M5" s="210"/>
    </row>
    <row r="6" spans="1:13" ht="28.5" customHeight="1" thickBot="1">
      <c r="A6" s="21"/>
      <c r="B6" s="22"/>
      <c r="C6" s="22"/>
      <c r="D6" s="23" t="s">
        <v>10</v>
      </c>
      <c r="E6" s="23" t="s">
        <v>11</v>
      </c>
      <c r="F6" s="23" t="s">
        <v>12</v>
      </c>
      <c r="G6" s="23" t="s">
        <v>11</v>
      </c>
      <c r="H6" s="23" t="s">
        <v>12</v>
      </c>
      <c r="I6" s="23" t="s">
        <v>11</v>
      </c>
      <c r="J6" s="23" t="s">
        <v>12</v>
      </c>
      <c r="K6" s="23" t="s">
        <v>11</v>
      </c>
      <c r="L6" s="23" t="s">
        <v>12</v>
      </c>
      <c r="M6" s="80"/>
    </row>
    <row r="7" spans="1:13" s="7" customFormat="1" ht="30" customHeight="1" thickBot="1">
      <c r="A7" s="204" t="s">
        <v>24</v>
      </c>
      <c r="B7" s="205"/>
      <c r="C7" s="205"/>
      <c r="D7" s="205"/>
      <c r="E7" s="205"/>
      <c r="F7" s="206"/>
      <c r="G7" s="24">
        <f t="shared" ref="G7:L7" si="0">SUM(G8:G36)</f>
        <v>541550</v>
      </c>
      <c r="H7" s="24">
        <f t="shared" si="0"/>
        <v>8050</v>
      </c>
      <c r="I7" s="24">
        <f t="shared" si="0"/>
        <v>604994.91665999987</v>
      </c>
      <c r="J7" s="24">
        <f t="shared" si="0"/>
        <v>7451.2172799999998</v>
      </c>
      <c r="K7" s="24">
        <f t="shared" si="0"/>
        <v>2607493.8268500008</v>
      </c>
      <c r="L7" s="24">
        <f t="shared" si="0"/>
        <v>38447.066619999998</v>
      </c>
      <c r="M7" s="81"/>
    </row>
    <row r="8" spans="1:13" ht="48" customHeight="1">
      <c r="A8" s="189" t="s">
        <v>54</v>
      </c>
      <c r="B8" s="208">
        <v>41431</v>
      </c>
      <c r="C8" s="172">
        <v>43830</v>
      </c>
      <c r="D8" s="25" t="s">
        <v>0</v>
      </c>
      <c r="E8" s="25">
        <v>24500</v>
      </c>
      <c r="F8" s="167"/>
      <c r="G8" s="167">
        <v>4000</v>
      </c>
      <c r="H8" s="169"/>
      <c r="I8" s="167">
        <v>14768.58101</v>
      </c>
      <c r="J8" s="175"/>
      <c r="K8" s="167">
        <f>148859.28356+I8</f>
        <v>163627.86457000001</v>
      </c>
      <c r="L8" s="167"/>
      <c r="M8" s="211" t="s">
        <v>154</v>
      </c>
    </row>
    <row r="9" spans="1:13" ht="122.25" customHeight="1">
      <c r="A9" s="190"/>
      <c r="B9" s="171"/>
      <c r="C9" s="173"/>
      <c r="D9" s="26" t="s">
        <v>1</v>
      </c>
      <c r="E9" s="26">
        <v>38000</v>
      </c>
      <c r="F9" s="168"/>
      <c r="G9" s="168"/>
      <c r="H9" s="170"/>
      <c r="I9" s="168"/>
      <c r="J9" s="174"/>
      <c r="K9" s="168"/>
      <c r="L9" s="168"/>
      <c r="M9" s="212"/>
    </row>
    <row r="10" spans="1:13" s="9" customFormat="1" ht="46.9" customHeight="1">
      <c r="A10" s="190" t="s">
        <v>46</v>
      </c>
      <c r="B10" s="171">
        <v>42410</v>
      </c>
      <c r="C10" s="171">
        <v>45291</v>
      </c>
      <c r="D10" s="26" t="s">
        <v>1</v>
      </c>
      <c r="E10" s="26">
        <v>140000</v>
      </c>
      <c r="F10" s="26"/>
      <c r="G10" s="168">
        <v>37225</v>
      </c>
      <c r="H10" s="170"/>
      <c r="I10" s="168">
        <v>65640.254119999998</v>
      </c>
      <c r="J10" s="174"/>
      <c r="K10" s="168">
        <f>102576.23686+I10</f>
        <v>168216.49098</v>
      </c>
      <c r="L10" s="168"/>
      <c r="M10" s="212" t="s">
        <v>162</v>
      </c>
    </row>
    <row r="11" spans="1:13" s="9" customFormat="1" ht="88.5" customHeight="1">
      <c r="A11" s="190"/>
      <c r="B11" s="171"/>
      <c r="C11" s="171"/>
      <c r="D11" s="26" t="s">
        <v>4</v>
      </c>
      <c r="E11" s="26">
        <v>49450</v>
      </c>
      <c r="F11" s="26"/>
      <c r="G11" s="168"/>
      <c r="H11" s="170"/>
      <c r="I11" s="168"/>
      <c r="J11" s="174"/>
      <c r="K11" s="168"/>
      <c r="L11" s="168"/>
      <c r="M11" s="212"/>
    </row>
    <row r="12" spans="1:13" ht="78" customHeight="1">
      <c r="A12" s="190" t="s">
        <v>56</v>
      </c>
      <c r="B12" s="171">
        <v>40115</v>
      </c>
      <c r="C12" s="171">
        <v>43737</v>
      </c>
      <c r="D12" s="26" t="s">
        <v>0</v>
      </c>
      <c r="E12" s="26">
        <v>75892</v>
      </c>
      <c r="F12" s="168"/>
      <c r="G12" s="168">
        <v>4000</v>
      </c>
      <c r="H12" s="170"/>
      <c r="I12" s="168">
        <v>19144.737730000001</v>
      </c>
      <c r="J12" s="168"/>
      <c r="K12" s="168">
        <f>372829.86217+I12</f>
        <v>391974.59989999997</v>
      </c>
      <c r="L12" s="168"/>
      <c r="M12" s="212" t="s">
        <v>155</v>
      </c>
    </row>
    <row r="13" spans="1:13" ht="28.15" customHeight="1">
      <c r="A13" s="190"/>
      <c r="B13" s="171"/>
      <c r="C13" s="171"/>
      <c r="D13" s="26" t="s">
        <v>2</v>
      </c>
      <c r="E13" s="26">
        <v>140000</v>
      </c>
      <c r="F13" s="168"/>
      <c r="G13" s="168"/>
      <c r="H13" s="170"/>
      <c r="I13" s="168"/>
      <c r="J13" s="168"/>
      <c r="K13" s="168"/>
      <c r="L13" s="168"/>
      <c r="M13" s="212"/>
    </row>
    <row r="14" spans="1:13" s="9" customFormat="1" ht="30" customHeight="1">
      <c r="A14" s="223" t="s">
        <v>55</v>
      </c>
      <c r="B14" s="160" t="s">
        <v>71</v>
      </c>
      <c r="C14" s="160" t="s">
        <v>72</v>
      </c>
      <c r="D14" s="48" t="s">
        <v>4</v>
      </c>
      <c r="E14" s="48">
        <v>108190</v>
      </c>
      <c r="F14" s="158"/>
      <c r="G14" s="158">
        <v>36500</v>
      </c>
      <c r="H14" s="162"/>
      <c r="I14" s="162">
        <v>56851.147570000001</v>
      </c>
      <c r="J14" s="158"/>
      <c r="K14" s="158">
        <f>61088.39635+I14</f>
        <v>117939.54392</v>
      </c>
      <c r="L14" s="158"/>
      <c r="M14" s="152" t="s">
        <v>156</v>
      </c>
    </row>
    <row r="15" spans="1:13" s="9" customFormat="1" ht="63.75" customHeight="1">
      <c r="A15" s="224"/>
      <c r="B15" s="161"/>
      <c r="C15" s="161"/>
      <c r="D15" s="48" t="s">
        <v>1</v>
      </c>
      <c r="E15" s="48">
        <v>114000</v>
      </c>
      <c r="F15" s="159"/>
      <c r="G15" s="159"/>
      <c r="H15" s="163"/>
      <c r="I15" s="163"/>
      <c r="J15" s="159"/>
      <c r="K15" s="159"/>
      <c r="L15" s="159"/>
      <c r="M15" s="153"/>
    </row>
    <row r="16" spans="1:13" ht="95.25" customHeight="1">
      <c r="A16" s="49" t="s">
        <v>20</v>
      </c>
      <c r="B16" s="14">
        <v>40163</v>
      </c>
      <c r="C16" s="28">
        <v>45101</v>
      </c>
      <c r="D16" s="26" t="s">
        <v>3</v>
      </c>
      <c r="E16" s="26">
        <v>22132000</v>
      </c>
      <c r="F16" s="26"/>
      <c r="G16" s="129">
        <v>1600</v>
      </c>
      <c r="H16" s="131"/>
      <c r="I16" s="143">
        <v>1512.77683</v>
      </c>
      <c r="J16" s="143"/>
      <c r="K16" s="143">
        <f>395400.05161+I16</f>
        <v>396912.82844000001</v>
      </c>
      <c r="L16" s="143"/>
      <c r="M16" s="78" t="s">
        <v>129</v>
      </c>
    </row>
    <row r="17" spans="1:18" ht="102.75" customHeight="1">
      <c r="A17" s="49" t="s">
        <v>37</v>
      </c>
      <c r="B17" s="14">
        <v>41040</v>
      </c>
      <c r="C17" s="14">
        <v>43797</v>
      </c>
      <c r="D17" s="26" t="s">
        <v>4</v>
      </c>
      <c r="E17" s="26">
        <v>200000</v>
      </c>
      <c r="F17" s="26">
        <v>20000</v>
      </c>
      <c r="G17" s="129">
        <v>38000</v>
      </c>
      <c r="H17" s="131">
        <v>8050</v>
      </c>
      <c r="I17" s="143">
        <v>53986.061090000003</v>
      </c>
      <c r="J17" s="143">
        <v>7451.2172799999998</v>
      </c>
      <c r="K17" s="143">
        <f>299698.79166+I17</f>
        <v>353684.85274999996</v>
      </c>
      <c r="L17" s="143">
        <f>30995.84934+J17</f>
        <v>38447.066619999998</v>
      </c>
      <c r="M17" s="78" t="s">
        <v>163</v>
      </c>
    </row>
    <row r="18" spans="1:18" s="9" customFormat="1" ht="33.6" customHeight="1">
      <c r="A18" s="156" t="s">
        <v>83</v>
      </c>
      <c r="B18" s="71" t="s">
        <v>108</v>
      </c>
      <c r="C18" s="71" t="s">
        <v>109</v>
      </c>
      <c r="D18" s="72" t="s">
        <v>4</v>
      </c>
      <c r="E18" s="72">
        <v>16000</v>
      </c>
      <c r="F18" s="72"/>
      <c r="G18" s="158">
        <v>45600</v>
      </c>
      <c r="H18" s="162"/>
      <c r="I18" s="158">
        <v>59513.806080000002</v>
      </c>
      <c r="J18" s="158"/>
      <c r="K18" s="158">
        <f>125.74445+I18</f>
        <v>59639.55053</v>
      </c>
      <c r="L18" s="158"/>
      <c r="M18" s="152" t="s">
        <v>157</v>
      </c>
    </row>
    <row r="19" spans="1:18" s="9" customFormat="1" ht="39.6" customHeight="1">
      <c r="A19" s="157"/>
      <c r="B19" s="71">
        <v>43382</v>
      </c>
      <c r="C19" s="71">
        <v>44539</v>
      </c>
      <c r="D19" s="72" t="s">
        <v>4</v>
      </c>
      <c r="E19" s="164">
        <v>250000</v>
      </c>
      <c r="F19" s="72"/>
      <c r="G19" s="159"/>
      <c r="H19" s="163"/>
      <c r="I19" s="159"/>
      <c r="J19" s="159"/>
      <c r="K19" s="159"/>
      <c r="L19" s="159"/>
      <c r="M19" s="153"/>
    </row>
    <row r="20" spans="1:18" s="9" customFormat="1" ht="48.6" customHeight="1">
      <c r="A20" s="73" t="s">
        <v>81</v>
      </c>
      <c r="B20" s="160">
        <v>42652</v>
      </c>
      <c r="C20" s="160">
        <v>44539</v>
      </c>
      <c r="D20" s="162" t="s">
        <v>4</v>
      </c>
      <c r="E20" s="165"/>
      <c r="F20" s="64"/>
      <c r="G20" s="129">
        <v>16050</v>
      </c>
      <c r="H20" s="129"/>
      <c r="I20" s="145">
        <v>13324.994629999999</v>
      </c>
      <c r="J20" s="64"/>
      <c r="K20" s="143">
        <f>201682.00984+I20</f>
        <v>215007.00447000001</v>
      </c>
      <c r="L20" s="64"/>
      <c r="M20" s="78" t="s">
        <v>149</v>
      </c>
    </row>
    <row r="21" spans="1:18" s="9" customFormat="1" ht="45.6" customHeight="1">
      <c r="A21" s="73" t="s">
        <v>142</v>
      </c>
      <c r="B21" s="161"/>
      <c r="C21" s="161"/>
      <c r="D21" s="163"/>
      <c r="E21" s="166"/>
      <c r="F21" s="64"/>
      <c r="G21" s="129">
        <v>26000</v>
      </c>
      <c r="H21" s="64"/>
      <c r="I21" s="143">
        <v>11875.322120000001</v>
      </c>
      <c r="J21" s="64"/>
      <c r="K21" s="143">
        <f>20357.40381+I21</f>
        <v>32232.725930000001</v>
      </c>
      <c r="L21" s="64"/>
      <c r="M21" s="78" t="s">
        <v>150</v>
      </c>
    </row>
    <row r="22" spans="1:18" s="9" customFormat="1" ht="93" customHeight="1">
      <c r="A22" s="73" t="s">
        <v>80</v>
      </c>
      <c r="B22" s="63"/>
      <c r="C22" s="63"/>
      <c r="D22" s="64"/>
      <c r="E22" s="64"/>
      <c r="F22" s="64"/>
      <c r="G22" s="129"/>
      <c r="H22" s="64"/>
      <c r="I22" s="64"/>
      <c r="J22" s="64"/>
      <c r="K22" s="139"/>
      <c r="L22" s="64"/>
      <c r="M22" s="78" t="s">
        <v>143</v>
      </c>
    </row>
    <row r="23" spans="1:18" s="9" customFormat="1" ht="58.5" customHeight="1">
      <c r="A23" s="73" t="s">
        <v>77</v>
      </c>
      <c r="B23" s="63"/>
      <c r="C23" s="63"/>
      <c r="D23" s="64"/>
      <c r="E23" s="64"/>
      <c r="F23" s="64"/>
      <c r="G23" s="129"/>
      <c r="H23" s="64"/>
      <c r="I23" s="64"/>
      <c r="J23" s="64"/>
      <c r="K23" s="139"/>
      <c r="L23" s="64"/>
      <c r="M23" s="78" t="s">
        <v>85</v>
      </c>
    </row>
    <row r="24" spans="1:18" s="9" customFormat="1" ht="58.5" customHeight="1">
      <c r="A24" s="73" t="s">
        <v>82</v>
      </c>
      <c r="B24" s="91">
        <v>43378</v>
      </c>
      <c r="C24" s="91">
        <v>45657</v>
      </c>
      <c r="D24" s="90" t="s">
        <v>4</v>
      </c>
      <c r="E24" s="90">
        <v>255297</v>
      </c>
      <c r="F24" s="64"/>
      <c r="G24" s="129">
        <v>7550</v>
      </c>
      <c r="H24" s="64"/>
      <c r="I24" s="145">
        <v>11868.967000000001</v>
      </c>
      <c r="J24" s="64"/>
      <c r="K24" s="143">
        <f>113756.3746+I24</f>
        <v>125625.3416</v>
      </c>
      <c r="L24" s="64"/>
      <c r="M24" s="78" t="s">
        <v>148</v>
      </c>
    </row>
    <row r="25" spans="1:18" s="9" customFormat="1" ht="33" customHeight="1">
      <c r="A25" s="156" t="s">
        <v>84</v>
      </c>
      <c r="B25" s="147">
        <v>43704</v>
      </c>
      <c r="C25" s="154">
        <v>45291</v>
      </c>
      <c r="D25" s="158" t="s">
        <v>4</v>
      </c>
      <c r="E25" s="143">
        <v>370236</v>
      </c>
      <c r="F25" s="64"/>
      <c r="G25" s="158">
        <v>228275</v>
      </c>
      <c r="H25" s="158"/>
      <c r="I25" s="158">
        <v>223666.14134</v>
      </c>
      <c r="J25" s="158"/>
      <c r="K25" s="158">
        <f>I25</f>
        <v>223666.14134</v>
      </c>
      <c r="L25" s="158"/>
      <c r="M25" s="152" t="s">
        <v>164</v>
      </c>
    </row>
    <row r="26" spans="1:18" s="9" customFormat="1" ht="33.6" customHeight="1">
      <c r="A26" s="157"/>
      <c r="B26" s="147">
        <v>43749</v>
      </c>
      <c r="C26" s="155"/>
      <c r="D26" s="159"/>
      <c r="E26" s="143">
        <v>53400</v>
      </c>
      <c r="F26" s="64"/>
      <c r="G26" s="159"/>
      <c r="H26" s="159"/>
      <c r="I26" s="159"/>
      <c r="J26" s="159"/>
      <c r="K26" s="159"/>
      <c r="L26" s="159"/>
      <c r="M26" s="153"/>
    </row>
    <row r="27" spans="1:18" s="9" customFormat="1" ht="43.15" customHeight="1">
      <c r="A27" s="73" t="s">
        <v>158</v>
      </c>
      <c r="B27" s="125"/>
      <c r="C27" s="125"/>
      <c r="D27" s="126"/>
      <c r="E27" s="126"/>
      <c r="F27" s="64"/>
      <c r="G27" s="129">
        <v>10250</v>
      </c>
      <c r="H27" s="64"/>
      <c r="I27" s="64"/>
      <c r="J27" s="64"/>
      <c r="K27" s="129"/>
      <c r="L27" s="64"/>
      <c r="M27" s="78" t="s">
        <v>165</v>
      </c>
    </row>
    <row r="28" spans="1:18" s="9" customFormat="1" ht="57.75" customHeight="1">
      <c r="A28" s="73" t="s">
        <v>153</v>
      </c>
      <c r="B28" s="63"/>
      <c r="C28" s="63"/>
      <c r="D28" s="64"/>
      <c r="E28" s="64"/>
      <c r="F28" s="64"/>
      <c r="G28" s="129"/>
      <c r="H28" s="64"/>
      <c r="I28" s="64"/>
      <c r="J28" s="64"/>
      <c r="K28" s="129"/>
      <c r="L28" s="64"/>
      <c r="M28" s="78" t="s">
        <v>159</v>
      </c>
    </row>
    <row r="29" spans="1:18" s="9" customFormat="1" ht="51" customHeight="1">
      <c r="A29" s="73" t="s">
        <v>79</v>
      </c>
      <c r="B29" s="63"/>
      <c r="C29" s="63"/>
      <c r="D29" s="64"/>
      <c r="E29" s="64"/>
      <c r="F29" s="64"/>
      <c r="G29" s="129"/>
      <c r="H29" s="64"/>
      <c r="I29" s="64"/>
      <c r="J29" s="64"/>
      <c r="K29" s="129"/>
      <c r="L29" s="64"/>
      <c r="M29" s="78" t="s">
        <v>166</v>
      </c>
    </row>
    <row r="30" spans="1:18" s="3" customFormat="1" ht="34.5" customHeight="1">
      <c r="A30" s="191" t="s">
        <v>13</v>
      </c>
      <c r="B30" s="207">
        <v>40990</v>
      </c>
      <c r="C30" s="207">
        <v>43646</v>
      </c>
      <c r="D30" s="70" t="s">
        <v>0</v>
      </c>
      <c r="E30" s="70">
        <v>25800</v>
      </c>
      <c r="F30" s="168"/>
      <c r="G30" s="168">
        <v>2300</v>
      </c>
      <c r="H30" s="170"/>
      <c r="I30" s="168">
        <v>1186.08332</v>
      </c>
      <c r="J30" s="174"/>
      <c r="K30" s="168">
        <f>126586.68242+I30</f>
        <v>127772.76574</v>
      </c>
      <c r="L30" s="168"/>
      <c r="M30" s="212" t="s">
        <v>160</v>
      </c>
      <c r="N30" s="1"/>
      <c r="O30" s="1"/>
      <c r="P30" s="1"/>
      <c r="Q30" s="1"/>
      <c r="R30" s="1"/>
    </row>
    <row r="31" spans="1:18" s="3" customFormat="1" ht="37.5" customHeight="1">
      <c r="A31" s="191"/>
      <c r="B31" s="207"/>
      <c r="C31" s="207"/>
      <c r="D31" s="70" t="s">
        <v>1</v>
      </c>
      <c r="E31" s="70">
        <v>30000</v>
      </c>
      <c r="F31" s="168"/>
      <c r="G31" s="168"/>
      <c r="H31" s="170"/>
      <c r="I31" s="168"/>
      <c r="J31" s="174"/>
      <c r="K31" s="168"/>
      <c r="L31" s="168"/>
      <c r="M31" s="212"/>
      <c r="N31" s="1"/>
      <c r="O31" s="1"/>
      <c r="P31" s="1"/>
      <c r="Q31" s="1"/>
      <c r="R31" s="1"/>
    </row>
    <row r="32" spans="1:18" s="3" customFormat="1" ht="87" customHeight="1">
      <c r="A32" s="59" t="s">
        <v>66</v>
      </c>
      <c r="B32" s="47">
        <v>41829</v>
      </c>
      <c r="C32" s="47">
        <v>44012</v>
      </c>
      <c r="D32" s="70" t="s">
        <v>1</v>
      </c>
      <c r="E32" s="70">
        <v>75000</v>
      </c>
      <c r="F32" s="26"/>
      <c r="G32" s="129">
        <v>36000</v>
      </c>
      <c r="H32" s="131"/>
      <c r="I32" s="143">
        <v>41000.326480000003</v>
      </c>
      <c r="J32" s="143"/>
      <c r="K32" s="143">
        <f>111232.66285+I32</f>
        <v>152232.98933000001</v>
      </c>
      <c r="L32" s="143"/>
      <c r="M32" s="78" t="s">
        <v>167</v>
      </c>
      <c r="N32" s="1"/>
      <c r="O32" s="1"/>
      <c r="P32" s="1"/>
      <c r="Q32" s="1"/>
      <c r="R32" s="1"/>
    </row>
    <row r="33" spans="1:18" s="3" customFormat="1" ht="120.75" customHeight="1">
      <c r="A33" s="59" t="s">
        <v>48</v>
      </c>
      <c r="B33" s="47">
        <v>42457</v>
      </c>
      <c r="C33" s="47">
        <v>44561</v>
      </c>
      <c r="D33" s="70" t="s">
        <v>1</v>
      </c>
      <c r="E33" s="70">
        <v>40000</v>
      </c>
      <c r="F33" s="26"/>
      <c r="G33" s="129">
        <v>24000</v>
      </c>
      <c r="H33" s="131"/>
      <c r="I33" s="143">
        <v>9759.4199000000008</v>
      </c>
      <c r="J33" s="143"/>
      <c r="K33" s="143">
        <f>31603.92074+I33</f>
        <v>41363.340640000002</v>
      </c>
      <c r="L33" s="143"/>
      <c r="M33" s="78" t="s">
        <v>168</v>
      </c>
      <c r="N33" s="1"/>
      <c r="O33" s="1"/>
      <c r="P33" s="1"/>
      <c r="Q33" s="1"/>
      <c r="R33" s="1"/>
    </row>
    <row r="34" spans="1:18" s="3" customFormat="1" ht="88.5" customHeight="1">
      <c r="A34" s="73" t="s">
        <v>78</v>
      </c>
      <c r="B34" s="47" t="s">
        <v>74</v>
      </c>
      <c r="C34" s="47" t="s">
        <v>130</v>
      </c>
      <c r="D34" s="70" t="s">
        <v>1</v>
      </c>
      <c r="E34" s="70">
        <v>80000</v>
      </c>
      <c r="F34" s="67"/>
      <c r="G34" s="131">
        <v>15400</v>
      </c>
      <c r="H34" s="131"/>
      <c r="I34" s="143">
        <v>18476.51917</v>
      </c>
      <c r="J34" s="143"/>
      <c r="K34" s="143">
        <f>15769.12805+I34</f>
        <v>34245.647219999999</v>
      </c>
      <c r="L34" s="143"/>
      <c r="M34" s="78" t="s">
        <v>151</v>
      </c>
      <c r="N34" s="89"/>
      <c r="O34" s="1"/>
      <c r="P34" s="1"/>
      <c r="Q34" s="1"/>
      <c r="R34" s="1"/>
    </row>
    <row r="35" spans="1:18" s="3" customFormat="1" ht="66.75" customHeight="1">
      <c r="A35" s="55" t="s">
        <v>44</v>
      </c>
      <c r="B35" s="14">
        <v>42752</v>
      </c>
      <c r="C35" s="14">
        <v>44196</v>
      </c>
      <c r="D35" s="26" t="s">
        <v>43</v>
      </c>
      <c r="E35" s="26">
        <v>8000</v>
      </c>
      <c r="F35" s="26"/>
      <c r="G35" s="129">
        <v>8500</v>
      </c>
      <c r="H35" s="131"/>
      <c r="I35" s="143">
        <v>1271.4614200000001</v>
      </c>
      <c r="J35" s="143"/>
      <c r="K35" s="143">
        <f>795.30622+I35</f>
        <v>2066.76764</v>
      </c>
      <c r="L35" s="143"/>
      <c r="M35" s="78" t="s">
        <v>152</v>
      </c>
      <c r="N35" s="1"/>
      <c r="O35" s="1"/>
      <c r="P35" s="1"/>
      <c r="Q35" s="1"/>
      <c r="R35" s="1"/>
    </row>
    <row r="36" spans="1:18" s="3" customFormat="1" ht="81" customHeight="1" thickBot="1">
      <c r="A36" s="115" t="s">
        <v>45</v>
      </c>
      <c r="B36" s="116">
        <v>42734</v>
      </c>
      <c r="C36" s="116">
        <v>43830</v>
      </c>
      <c r="D36" s="117" t="s">
        <v>4</v>
      </c>
      <c r="E36" s="117">
        <v>6000</v>
      </c>
      <c r="F36" s="117"/>
      <c r="G36" s="31">
        <v>300</v>
      </c>
      <c r="H36" s="66"/>
      <c r="I36" s="31">
        <v>1148.3168499999999</v>
      </c>
      <c r="J36" s="31"/>
      <c r="K36" s="31">
        <f>137.055+I36</f>
        <v>1285.37185</v>
      </c>
      <c r="L36" s="31"/>
      <c r="M36" s="118" t="s">
        <v>145</v>
      </c>
      <c r="N36" s="1"/>
      <c r="O36" s="1"/>
      <c r="P36" s="1"/>
      <c r="Q36" s="1"/>
      <c r="R36" s="1"/>
    </row>
    <row r="37" spans="1:18" s="7" customFormat="1" ht="30" customHeight="1" thickBot="1">
      <c r="A37" s="178" t="s">
        <v>7</v>
      </c>
      <c r="B37" s="179"/>
      <c r="C37" s="179"/>
      <c r="D37" s="179"/>
      <c r="E37" s="179"/>
      <c r="F37" s="180"/>
      <c r="G37" s="37">
        <f>SUM(G38:G54)</f>
        <v>138330</v>
      </c>
      <c r="H37" s="37">
        <f t="shared" ref="H37:L37" si="1">SUM(H38:H54)</f>
        <v>6100</v>
      </c>
      <c r="I37" s="37">
        <f t="shared" si="1"/>
        <v>153525.90445</v>
      </c>
      <c r="J37" s="37">
        <f t="shared" si="1"/>
        <v>6570.667550000001</v>
      </c>
      <c r="K37" s="37">
        <f t="shared" si="1"/>
        <v>923655.81716999982</v>
      </c>
      <c r="L37" s="37">
        <f t="shared" si="1"/>
        <v>20547.211209999998</v>
      </c>
      <c r="M37" s="85"/>
    </row>
    <row r="38" spans="1:18" ht="62.25" customHeight="1">
      <c r="A38" s="54" t="s">
        <v>22</v>
      </c>
      <c r="B38" s="56">
        <v>41869</v>
      </c>
      <c r="C38" s="56">
        <v>44316</v>
      </c>
      <c r="D38" s="53" t="s">
        <v>1</v>
      </c>
      <c r="E38" s="53">
        <v>30000</v>
      </c>
      <c r="F38" s="53">
        <v>5000</v>
      </c>
      <c r="G38" s="32">
        <v>8800</v>
      </c>
      <c r="H38" s="65">
        <v>3600</v>
      </c>
      <c r="I38" s="32">
        <v>10034.90501</v>
      </c>
      <c r="J38" s="150">
        <v>3378.0462600000001</v>
      </c>
      <c r="K38" s="32">
        <f>42550.40846+I38</f>
        <v>52585.313470000001</v>
      </c>
      <c r="L38" s="32">
        <f>4758.74569+J38</f>
        <v>8136.7919499999998</v>
      </c>
      <c r="M38" s="83" t="s">
        <v>88</v>
      </c>
    </row>
    <row r="39" spans="1:18" ht="81" customHeight="1">
      <c r="A39" s="55" t="s">
        <v>14</v>
      </c>
      <c r="B39" s="50">
        <v>40227</v>
      </c>
      <c r="C39" s="28">
        <v>44196</v>
      </c>
      <c r="D39" s="51" t="s">
        <v>4</v>
      </c>
      <c r="E39" s="51">
        <v>3000</v>
      </c>
      <c r="F39" s="51"/>
      <c r="G39" s="134">
        <v>3000</v>
      </c>
      <c r="H39" s="135"/>
      <c r="I39" s="150">
        <v>2327.0277999999998</v>
      </c>
      <c r="J39" s="150"/>
      <c r="K39" s="150">
        <f>74.757+I39</f>
        <v>2401.7847999999999</v>
      </c>
      <c r="L39" s="150"/>
      <c r="M39" s="78" t="s">
        <v>89</v>
      </c>
    </row>
    <row r="40" spans="1:18" ht="108" customHeight="1">
      <c r="A40" s="55" t="s">
        <v>38</v>
      </c>
      <c r="B40" s="50">
        <v>41621</v>
      </c>
      <c r="C40" s="50">
        <v>44926</v>
      </c>
      <c r="D40" s="51" t="s">
        <v>4</v>
      </c>
      <c r="E40" s="51">
        <v>20000</v>
      </c>
      <c r="F40" s="51">
        <v>2000</v>
      </c>
      <c r="G40" s="134"/>
      <c r="H40" s="135">
        <v>1000</v>
      </c>
      <c r="I40" s="150"/>
      <c r="J40" s="150">
        <v>1505.5334399999999</v>
      </c>
      <c r="K40" s="33">
        <f>7439.85874+I40</f>
        <v>7439.8587399999997</v>
      </c>
      <c r="L40" s="150">
        <f>4849.88963+J40</f>
        <v>6355.4230699999998</v>
      </c>
      <c r="M40" s="78" t="s">
        <v>131</v>
      </c>
    </row>
    <row r="41" spans="1:18" ht="59.45" customHeight="1">
      <c r="A41" s="187" t="s">
        <v>67</v>
      </c>
      <c r="B41" s="171">
        <v>40350</v>
      </c>
      <c r="C41" s="171">
        <v>44030</v>
      </c>
      <c r="D41" s="51" t="s">
        <v>0</v>
      </c>
      <c r="E41" s="51">
        <f>57986+10639</f>
        <v>68625</v>
      </c>
      <c r="F41" s="168"/>
      <c r="G41" s="214">
        <v>44150</v>
      </c>
      <c r="H41" s="188"/>
      <c r="I41" s="184">
        <v>49788.816639999997</v>
      </c>
      <c r="J41" s="184"/>
      <c r="K41" s="185">
        <f>358756.19854+I41</f>
        <v>408545.01517999999</v>
      </c>
      <c r="L41" s="184"/>
      <c r="M41" s="212" t="s">
        <v>132</v>
      </c>
    </row>
    <row r="42" spans="1:18" ht="117.75" customHeight="1">
      <c r="A42" s="187"/>
      <c r="B42" s="171"/>
      <c r="C42" s="171"/>
      <c r="D42" s="51" t="s">
        <v>1</v>
      </c>
      <c r="E42" s="51">
        <f>48886+73000+20000</f>
        <v>141886</v>
      </c>
      <c r="F42" s="168"/>
      <c r="G42" s="215"/>
      <c r="H42" s="188"/>
      <c r="I42" s="184"/>
      <c r="J42" s="184"/>
      <c r="K42" s="186"/>
      <c r="L42" s="184"/>
      <c r="M42" s="212"/>
    </row>
    <row r="43" spans="1:18" ht="105" customHeight="1">
      <c r="A43" s="57" t="s">
        <v>49</v>
      </c>
      <c r="B43" s="50">
        <v>40996</v>
      </c>
      <c r="C43" s="50">
        <v>43403</v>
      </c>
      <c r="D43" s="51" t="s">
        <v>1</v>
      </c>
      <c r="E43" s="51">
        <v>60000</v>
      </c>
      <c r="F43" s="51"/>
      <c r="G43" s="134">
        <v>30</v>
      </c>
      <c r="H43" s="135"/>
      <c r="I43" s="134"/>
      <c r="J43" s="34"/>
      <c r="K43" s="134">
        <f>102881.35442+I43</f>
        <v>102881.35442</v>
      </c>
      <c r="L43" s="134"/>
      <c r="M43" s="78" t="s">
        <v>90</v>
      </c>
    </row>
    <row r="44" spans="1:18" ht="38.25" customHeight="1">
      <c r="A44" s="187" t="s">
        <v>15</v>
      </c>
      <c r="B44" s="171">
        <v>41222</v>
      </c>
      <c r="C44" s="171">
        <v>43830</v>
      </c>
      <c r="D44" s="51" t="s">
        <v>0</v>
      </c>
      <c r="E44" s="51">
        <v>19800</v>
      </c>
      <c r="F44" s="51"/>
      <c r="G44" s="184">
        <v>14025</v>
      </c>
      <c r="H44" s="188"/>
      <c r="I44" s="184">
        <v>21606.411550000001</v>
      </c>
      <c r="J44" s="184"/>
      <c r="K44" s="184">
        <f>57667.72863+I44</f>
        <v>79274.140180000002</v>
      </c>
      <c r="L44" s="184"/>
      <c r="M44" s="212" t="s">
        <v>107</v>
      </c>
    </row>
    <row r="45" spans="1:18" ht="53.25" customHeight="1">
      <c r="A45" s="187"/>
      <c r="B45" s="171"/>
      <c r="C45" s="171"/>
      <c r="D45" s="51" t="s">
        <v>1</v>
      </c>
      <c r="E45" s="51">
        <v>9000</v>
      </c>
      <c r="F45" s="51"/>
      <c r="G45" s="184"/>
      <c r="H45" s="188"/>
      <c r="I45" s="184"/>
      <c r="J45" s="184"/>
      <c r="K45" s="184"/>
      <c r="L45" s="184"/>
      <c r="M45" s="212"/>
    </row>
    <row r="46" spans="1:18" ht="55.5" customHeight="1">
      <c r="A46" s="57" t="s">
        <v>33</v>
      </c>
      <c r="B46" s="50">
        <v>42223</v>
      </c>
      <c r="C46" s="50">
        <v>44926</v>
      </c>
      <c r="D46" s="51" t="s">
        <v>1</v>
      </c>
      <c r="E46" s="51">
        <v>60000</v>
      </c>
      <c r="F46" s="51"/>
      <c r="G46" s="134">
        <v>17050</v>
      </c>
      <c r="H46" s="135"/>
      <c r="I46" s="150">
        <v>14978.32085</v>
      </c>
      <c r="J46" s="150"/>
      <c r="K46" s="150">
        <f>31101.72865+I46</f>
        <v>46080.049500000001</v>
      </c>
      <c r="L46" s="150"/>
      <c r="M46" s="78" t="s">
        <v>91</v>
      </c>
    </row>
    <row r="47" spans="1:18" ht="51.75" customHeight="1">
      <c r="A47" s="55" t="s">
        <v>34</v>
      </c>
      <c r="B47" s="50">
        <v>42136</v>
      </c>
      <c r="C47" s="50">
        <v>43963</v>
      </c>
      <c r="D47" s="51" t="s">
        <v>4</v>
      </c>
      <c r="E47" s="51">
        <v>4300</v>
      </c>
      <c r="F47" s="51">
        <v>1843</v>
      </c>
      <c r="G47" s="134">
        <v>475</v>
      </c>
      <c r="H47" s="135"/>
      <c r="I47" s="150">
        <v>847.63293999999996</v>
      </c>
      <c r="J47" s="150"/>
      <c r="K47" s="150">
        <f>119.7894+I47</f>
        <v>967.42233999999996</v>
      </c>
      <c r="L47" s="150"/>
      <c r="M47" s="78" t="s">
        <v>92</v>
      </c>
    </row>
    <row r="48" spans="1:18" ht="60.75" customHeight="1">
      <c r="A48" s="55" t="s">
        <v>58</v>
      </c>
      <c r="B48" s="50">
        <v>42563</v>
      </c>
      <c r="C48" s="50">
        <v>43766</v>
      </c>
      <c r="D48" s="51" t="s">
        <v>4</v>
      </c>
      <c r="E48" s="51">
        <v>10000</v>
      </c>
      <c r="F48" s="51">
        <v>2000</v>
      </c>
      <c r="G48" s="134"/>
      <c r="H48" s="135">
        <v>500</v>
      </c>
      <c r="I48" s="150"/>
      <c r="J48" s="150"/>
      <c r="K48" s="150">
        <f>12332.76308+I48</f>
        <v>12332.763080000001</v>
      </c>
      <c r="L48" s="150">
        <f>5280.39061+J48</f>
        <v>5280.3906100000004</v>
      </c>
      <c r="M48" s="78" t="s">
        <v>93</v>
      </c>
    </row>
    <row r="49" spans="1:18" s="3" customFormat="1" ht="66.75" customHeight="1">
      <c r="A49" s="107" t="s">
        <v>121</v>
      </c>
      <c r="B49" s="110">
        <v>43285</v>
      </c>
      <c r="C49" s="111">
        <v>44016</v>
      </c>
      <c r="D49" s="106" t="s">
        <v>4</v>
      </c>
      <c r="E49" s="106">
        <v>2830</v>
      </c>
      <c r="F49" s="106">
        <v>1870</v>
      </c>
      <c r="G49" s="135">
        <v>700</v>
      </c>
      <c r="H49" s="135">
        <v>1000</v>
      </c>
      <c r="I49" s="151">
        <v>954.74044000000004</v>
      </c>
      <c r="J49" s="150">
        <v>912.48226999999997</v>
      </c>
      <c r="K49" s="151"/>
      <c r="L49" s="151"/>
      <c r="M49" s="78" t="s">
        <v>147</v>
      </c>
      <c r="N49" s="1"/>
      <c r="O49" s="1"/>
      <c r="P49" s="1"/>
      <c r="Q49" s="1"/>
      <c r="R49" s="1"/>
    </row>
    <row r="50" spans="1:18" s="3" customFormat="1" ht="65.25" customHeight="1">
      <c r="A50" s="55" t="s">
        <v>41</v>
      </c>
      <c r="B50" s="50">
        <v>42411</v>
      </c>
      <c r="C50" s="50">
        <v>43830</v>
      </c>
      <c r="D50" s="51" t="s">
        <v>4</v>
      </c>
      <c r="E50" s="51">
        <v>100000</v>
      </c>
      <c r="F50" s="51"/>
      <c r="G50" s="134">
        <v>48500</v>
      </c>
      <c r="H50" s="135"/>
      <c r="I50" s="150">
        <v>51834.90799</v>
      </c>
      <c r="J50" s="150"/>
      <c r="K50" s="150">
        <f>127652.683+I50</f>
        <v>179487.59099</v>
      </c>
      <c r="L50" s="150"/>
      <c r="M50" s="78" t="s">
        <v>94</v>
      </c>
      <c r="N50" s="1"/>
      <c r="O50" s="1"/>
      <c r="P50" s="1"/>
      <c r="Q50" s="1"/>
      <c r="R50" s="1"/>
    </row>
    <row r="51" spans="1:18" s="3" customFormat="1" ht="89.25" customHeight="1">
      <c r="A51" s="105" t="s">
        <v>61</v>
      </c>
      <c r="B51" s="104">
        <v>42713</v>
      </c>
      <c r="C51" s="104">
        <v>44561</v>
      </c>
      <c r="D51" s="102" t="s">
        <v>4</v>
      </c>
      <c r="E51" s="102">
        <v>100000</v>
      </c>
      <c r="F51" s="102"/>
      <c r="G51" s="134">
        <v>1600</v>
      </c>
      <c r="H51" s="135"/>
      <c r="I51" s="150"/>
      <c r="J51" s="150"/>
      <c r="K51" s="150"/>
      <c r="L51" s="150"/>
      <c r="M51" s="109" t="s">
        <v>133</v>
      </c>
      <c r="N51" s="1"/>
      <c r="O51" s="1"/>
      <c r="P51" s="1"/>
      <c r="Q51" s="1"/>
      <c r="R51" s="1"/>
    </row>
    <row r="52" spans="1:18" s="3" customFormat="1" ht="123.75" customHeight="1">
      <c r="A52" s="121" t="s">
        <v>138</v>
      </c>
      <c r="B52" s="120">
        <v>41884</v>
      </c>
      <c r="C52" s="120">
        <v>43830</v>
      </c>
      <c r="D52" s="119" t="s">
        <v>4</v>
      </c>
      <c r="E52" s="119">
        <v>13200</v>
      </c>
      <c r="F52" s="119"/>
      <c r="G52" s="134"/>
      <c r="H52" s="134"/>
      <c r="I52" s="150">
        <v>180.53817000000001</v>
      </c>
      <c r="J52" s="34"/>
      <c r="K52" s="150">
        <f>30507.38324+I52</f>
        <v>30687.921409999999</v>
      </c>
      <c r="L52" s="150"/>
      <c r="M52" s="124" t="s">
        <v>139</v>
      </c>
      <c r="N52" s="1"/>
      <c r="O52" s="1"/>
      <c r="P52" s="1"/>
      <c r="Q52" s="1"/>
      <c r="R52" s="1"/>
    </row>
    <row r="53" spans="1:18" s="3" customFormat="1" ht="58.5" customHeight="1">
      <c r="A53" s="105" t="s">
        <v>122</v>
      </c>
      <c r="B53" s="110">
        <v>43035</v>
      </c>
      <c r="C53" s="110">
        <v>44925</v>
      </c>
      <c r="D53" s="106" t="s">
        <v>4</v>
      </c>
      <c r="E53" s="106">
        <v>30000</v>
      </c>
      <c r="F53" s="106">
        <v>2000</v>
      </c>
      <c r="G53" s="134"/>
      <c r="H53" s="135"/>
      <c r="I53" s="150">
        <v>477.03305999999998</v>
      </c>
      <c r="J53" s="150">
        <v>774.60558000000003</v>
      </c>
      <c r="K53" s="150">
        <f>I53</f>
        <v>477.03305999999998</v>
      </c>
      <c r="L53" s="150">
        <f>J53</f>
        <v>774.60558000000003</v>
      </c>
      <c r="M53" s="109" t="s">
        <v>140</v>
      </c>
      <c r="N53" s="1"/>
      <c r="O53" s="1"/>
      <c r="P53" s="1"/>
      <c r="Q53" s="1"/>
      <c r="R53" s="1"/>
    </row>
    <row r="54" spans="1:18" s="3" customFormat="1" ht="75" customHeight="1" thickBot="1">
      <c r="A54" s="105" t="s">
        <v>123</v>
      </c>
      <c r="B54" s="112">
        <v>27.112017999999999</v>
      </c>
      <c r="C54" s="112">
        <v>27.112020999999999</v>
      </c>
      <c r="D54" s="61" t="s">
        <v>4</v>
      </c>
      <c r="E54" s="61">
        <v>15000</v>
      </c>
      <c r="F54" s="61"/>
      <c r="G54" s="61"/>
      <c r="H54" s="68"/>
      <c r="I54" s="61">
        <v>495.57</v>
      </c>
      <c r="J54" s="61"/>
      <c r="K54" s="150">
        <f>I54</f>
        <v>495.57</v>
      </c>
      <c r="L54" s="61"/>
      <c r="M54" s="109" t="s">
        <v>137</v>
      </c>
      <c r="N54" s="1"/>
      <c r="O54" s="1"/>
      <c r="P54" s="1"/>
      <c r="Q54" s="1"/>
      <c r="R54" s="1"/>
    </row>
    <row r="55" spans="1:18" s="7" customFormat="1" ht="23.25" customHeight="1" thickBot="1">
      <c r="A55" s="181" t="s">
        <v>8</v>
      </c>
      <c r="B55" s="182"/>
      <c r="C55" s="182"/>
      <c r="D55" s="182"/>
      <c r="E55" s="182"/>
      <c r="F55" s="183"/>
      <c r="G55" s="35">
        <f>SUM(G56:G63)</f>
        <v>193515</v>
      </c>
      <c r="H55" s="35">
        <f t="shared" ref="H55:L55" si="2">SUM(H56:H63)</f>
        <v>11195</v>
      </c>
      <c r="I55" s="35">
        <f>SUM(I56:I63)</f>
        <v>235181.22301000002</v>
      </c>
      <c r="J55" s="35">
        <f t="shared" si="2"/>
        <v>16719.369559999999</v>
      </c>
      <c r="K55" s="35">
        <f t="shared" si="2"/>
        <v>902554.69759399991</v>
      </c>
      <c r="L55" s="35">
        <f t="shared" si="2"/>
        <v>114339.79165000001</v>
      </c>
      <c r="M55" s="84"/>
    </row>
    <row r="56" spans="1:18" ht="41.45" customHeight="1">
      <c r="A56" s="54" t="s">
        <v>62</v>
      </c>
      <c r="B56" s="56">
        <v>39626</v>
      </c>
      <c r="C56" s="56">
        <v>43373</v>
      </c>
      <c r="D56" s="53" t="s">
        <v>4</v>
      </c>
      <c r="E56" s="53">
        <v>3700</v>
      </c>
      <c r="F56" s="53">
        <v>1814</v>
      </c>
      <c r="G56" s="128">
        <v>2750</v>
      </c>
      <c r="H56" s="130"/>
      <c r="I56" s="142">
        <v>3040.31954</v>
      </c>
      <c r="J56" s="149"/>
      <c r="K56" s="142">
        <f>6580.461404+I56</f>
        <v>9620.7809440000001</v>
      </c>
      <c r="L56" s="142">
        <f>3649.68102+J56</f>
        <v>3649.68102</v>
      </c>
      <c r="M56" s="83" t="s">
        <v>95</v>
      </c>
    </row>
    <row r="57" spans="1:18" ht="172.15" customHeight="1">
      <c r="A57" s="176" t="s">
        <v>51</v>
      </c>
      <c r="B57" s="171">
        <v>40673</v>
      </c>
      <c r="C57" s="171">
        <v>44284</v>
      </c>
      <c r="D57" s="51" t="s">
        <v>0</v>
      </c>
      <c r="E57" s="51">
        <f>51343+25047+64205+23005</f>
        <v>163600</v>
      </c>
      <c r="F57" s="168"/>
      <c r="G57" s="168">
        <v>158675</v>
      </c>
      <c r="H57" s="170"/>
      <c r="I57" s="170">
        <v>191027.12096999999</v>
      </c>
      <c r="J57" s="174"/>
      <c r="K57" s="168">
        <f>491362.10463+I57</f>
        <v>682389.22560000001</v>
      </c>
      <c r="L57" s="168"/>
      <c r="M57" s="212" t="s">
        <v>169</v>
      </c>
    </row>
    <row r="58" spans="1:18" ht="249" customHeight="1">
      <c r="A58" s="176"/>
      <c r="B58" s="171"/>
      <c r="C58" s="171"/>
      <c r="D58" s="51" t="s">
        <v>1</v>
      </c>
      <c r="E58" s="51">
        <f>108000+43000+99000</f>
        <v>250000</v>
      </c>
      <c r="F58" s="168"/>
      <c r="G58" s="168"/>
      <c r="H58" s="170"/>
      <c r="I58" s="170"/>
      <c r="J58" s="174"/>
      <c r="K58" s="168"/>
      <c r="L58" s="168"/>
      <c r="M58" s="212"/>
    </row>
    <row r="59" spans="1:18" ht="84.75" customHeight="1">
      <c r="A59" s="76" t="s">
        <v>76</v>
      </c>
      <c r="B59" s="75" t="s">
        <v>75</v>
      </c>
      <c r="C59" s="75">
        <v>44119</v>
      </c>
      <c r="D59" s="72" t="s">
        <v>4</v>
      </c>
      <c r="E59" s="74">
        <v>100</v>
      </c>
      <c r="F59" s="74"/>
      <c r="G59" s="129"/>
      <c r="H59" s="131"/>
      <c r="I59" s="64"/>
      <c r="J59" s="86"/>
      <c r="K59" s="143">
        <f>35.07802+I59</f>
        <v>35.078020000000002</v>
      </c>
      <c r="L59" s="64"/>
      <c r="M59" s="78" t="s">
        <v>134</v>
      </c>
    </row>
    <row r="60" spans="1:18" ht="145.5" customHeight="1">
      <c r="A60" s="55" t="s">
        <v>50</v>
      </c>
      <c r="B60" s="50">
        <v>40773</v>
      </c>
      <c r="C60" s="50">
        <v>44284</v>
      </c>
      <c r="D60" s="52" t="s">
        <v>4</v>
      </c>
      <c r="E60" s="52">
        <f>2988.339+4000+20000</f>
        <v>26988.339</v>
      </c>
      <c r="F60" s="52">
        <f>4500+6728.536+9000+4000+7000</f>
        <v>31228.536</v>
      </c>
      <c r="G60" s="129">
        <v>13400</v>
      </c>
      <c r="H60" s="131">
        <v>5350</v>
      </c>
      <c r="I60" s="148">
        <v>19112.228070000001</v>
      </c>
      <c r="J60" s="148">
        <v>7982.2569199999998</v>
      </c>
      <c r="K60" s="143">
        <f>46200.7648+I60</f>
        <v>65312.992870000002</v>
      </c>
      <c r="L60" s="148">
        <f>57507.50654+J60</f>
        <v>65489.763460000002</v>
      </c>
      <c r="M60" s="78" t="s">
        <v>96</v>
      </c>
    </row>
    <row r="61" spans="1:18" ht="59.25" customHeight="1">
      <c r="A61" s="55" t="s">
        <v>47</v>
      </c>
      <c r="B61" s="50">
        <v>42360</v>
      </c>
      <c r="C61" s="50">
        <v>44012</v>
      </c>
      <c r="D61" s="51" t="s">
        <v>4</v>
      </c>
      <c r="E61" s="51">
        <v>30000</v>
      </c>
      <c r="F61" s="51">
        <v>2000</v>
      </c>
      <c r="G61" s="129">
        <v>14690</v>
      </c>
      <c r="H61" s="131">
        <v>1845</v>
      </c>
      <c r="I61" s="143">
        <v>16149.036609999999</v>
      </c>
      <c r="J61" s="143">
        <v>1490.17381</v>
      </c>
      <c r="K61" s="143">
        <f>34681.49112+I61</f>
        <v>50830.527730000002</v>
      </c>
      <c r="L61" s="143">
        <f>3499.04143+J61</f>
        <v>4989.2152400000004</v>
      </c>
      <c r="M61" s="78" t="s">
        <v>97</v>
      </c>
    </row>
    <row r="62" spans="1:18" ht="67.5" customHeight="1">
      <c r="A62" s="55" t="s">
        <v>59</v>
      </c>
      <c r="B62" s="50">
        <v>41506</v>
      </c>
      <c r="C62" s="28">
        <v>43332</v>
      </c>
      <c r="D62" s="51" t="s">
        <v>4</v>
      </c>
      <c r="E62" s="51">
        <v>40000</v>
      </c>
      <c r="F62" s="51">
        <v>8000</v>
      </c>
      <c r="G62" s="129">
        <v>4000</v>
      </c>
      <c r="H62" s="131">
        <v>700</v>
      </c>
      <c r="I62" s="143">
        <v>5852.51782</v>
      </c>
      <c r="J62" s="148">
        <v>1501.2893300000001</v>
      </c>
      <c r="K62" s="143">
        <f>88513.57461+I62</f>
        <v>94366.09242999999</v>
      </c>
      <c r="L62" s="143">
        <f>17820.5113+J62</f>
        <v>19321.800629999998</v>
      </c>
      <c r="M62" s="78" t="s">
        <v>98</v>
      </c>
    </row>
    <row r="63" spans="1:18" ht="48" customHeight="1" thickBot="1">
      <c r="A63" s="29" t="s">
        <v>52</v>
      </c>
      <c r="B63" s="30">
        <v>41480</v>
      </c>
      <c r="C63" s="30">
        <v>43889</v>
      </c>
      <c r="D63" s="31" t="s">
        <v>1</v>
      </c>
      <c r="E63" s="31"/>
      <c r="F63" s="31">
        <v>10052.155000000001</v>
      </c>
      <c r="G63" s="31"/>
      <c r="H63" s="66">
        <v>3300</v>
      </c>
      <c r="I63" s="31"/>
      <c r="J63" s="36">
        <v>5745.6495000000004</v>
      </c>
      <c r="K63" s="31"/>
      <c r="L63" s="31">
        <f>15143.6818+J63</f>
        <v>20889.331300000002</v>
      </c>
      <c r="M63" s="82" t="s">
        <v>73</v>
      </c>
    </row>
    <row r="64" spans="1:18" s="7" customFormat="1" ht="30" customHeight="1" thickBot="1">
      <c r="A64" s="178" t="s">
        <v>25</v>
      </c>
      <c r="B64" s="179"/>
      <c r="C64" s="179"/>
      <c r="D64" s="179"/>
      <c r="E64" s="179"/>
      <c r="F64" s="180"/>
      <c r="G64" s="37">
        <f>SUM(G65:G76)</f>
        <v>11100</v>
      </c>
      <c r="H64" s="37">
        <f t="shared" ref="H64:L64" si="3">SUM(H65:H76)</f>
        <v>0</v>
      </c>
      <c r="I64" s="37">
        <f t="shared" si="3"/>
        <v>33163.594969999998</v>
      </c>
      <c r="J64" s="37">
        <f t="shared" si="3"/>
        <v>0</v>
      </c>
      <c r="K64" s="37">
        <f t="shared" si="3"/>
        <v>291367.32053500001</v>
      </c>
      <c r="L64" s="37">
        <f t="shared" si="3"/>
        <v>20950.680079999998</v>
      </c>
      <c r="M64" s="85"/>
    </row>
    <row r="65" spans="1:13" ht="115.5" customHeight="1">
      <c r="A65" s="87" t="s">
        <v>86</v>
      </c>
      <c r="B65" s="88">
        <v>43105</v>
      </c>
      <c r="C65" s="88" t="s">
        <v>87</v>
      </c>
      <c r="D65" s="77" t="s">
        <v>4</v>
      </c>
      <c r="E65" s="77">
        <v>28000</v>
      </c>
      <c r="F65" s="77">
        <v>7000</v>
      </c>
      <c r="G65" s="128">
        <v>500</v>
      </c>
      <c r="H65" s="130"/>
      <c r="I65" s="144">
        <v>17301.495210000001</v>
      </c>
      <c r="J65" s="69"/>
      <c r="K65" s="142">
        <f>2588.27771+I65</f>
        <v>19889.772919999999</v>
      </c>
      <c r="L65" s="142"/>
      <c r="M65" s="83" t="s">
        <v>110</v>
      </c>
    </row>
    <row r="66" spans="1:13" ht="34.15" customHeight="1">
      <c r="A66" s="57" t="s">
        <v>39</v>
      </c>
      <c r="B66" s="154">
        <v>41572</v>
      </c>
      <c r="C66" s="154">
        <v>43463</v>
      </c>
      <c r="D66" s="158" t="s">
        <v>4</v>
      </c>
      <c r="E66" s="158">
        <f>25200+35000</f>
        <v>60200</v>
      </c>
      <c r="F66" s="51">
        <v>8000</v>
      </c>
      <c r="G66" s="129">
        <v>1400</v>
      </c>
      <c r="H66" s="131"/>
      <c r="I66" s="143">
        <v>743.27260000000001</v>
      </c>
      <c r="J66" s="143"/>
      <c r="K66" s="143">
        <f>92412.661955+I66</f>
        <v>93155.934555</v>
      </c>
      <c r="L66" s="143">
        <v>20950.680079999998</v>
      </c>
      <c r="M66" s="212" t="s">
        <v>99</v>
      </c>
    </row>
    <row r="67" spans="1:13" ht="56.25" customHeight="1">
      <c r="A67" s="57" t="s">
        <v>60</v>
      </c>
      <c r="B67" s="221"/>
      <c r="C67" s="221"/>
      <c r="D67" s="222"/>
      <c r="E67" s="222"/>
      <c r="F67" s="51"/>
      <c r="G67" s="129">
        <v>4700</v>
      </c>
      <c r="H67" s="131"/>
      <c r="I67" s="143">
        <v>8041.6296599999996</v>
      </c>
      <c r="J67" s="143"/>
      <c r="K67" s="143">
        <f>45219.89027+I67</f>
        <v>53261.519930000002</v>
      </c>
      <c r="L67" s="143"/>
      <c r="M67" s="212"/>
    </row>
    <row r="68" spans="1:13" ht="60.75" customHeight="1">
      <c r="A68" s="55" t="s">
        <v>63</v>
      </c>
      <c r="B68" s="155"/>
      <c r="C68" s="155"/>
      <c r="D68" s="159"/>
      <c r="E68" s="159"/>
      <c r="F68" s="51"/>
      <c r="G68" s="129"/>
      <c r="H68" s="131"/>
      <c r="I68" s="143"/>
      <c r="J68" s="148"/>
      <c r="K68" s="143">
        <v>5120.6747100000002</v>
      </c>
      <c r="L68" s="143"/>
      <c r="M68" s="78" t="s">
        <v>100</v>
      </c>
    </row>
    <row r="69" spans="1:13" ht="93.75" customHeight="1">
      <c r="A69" s="95" t="s">
        <v>112</v>
      </c>
      <c r="B69" s="97">
        <v>42838</v>
      </c>
      <c r="C69" s="97">
        <v>44742</v>
      </c>
      <c r="D69" s="94" t="s">
        <v>4</v>
      </c>
      <c r="E69" s="94">
        <v>125000</v>
      </c>
      <c r="F69" s="92"/>
      <c r="G69" s="129"/>
      <c r="H69" s="131"/>
      <c r="I69" s="143"/>
      <c r="J69" s="148"/>
      <c r="K69" s="143"/>
      <c r="L69" s="143"/>
      <c r="M69" s="96" t="s">
        <v>124</v>
      </c>
    </row>
    <row r="70" spans="1:13" ht="98.25" customHeight="1">
      <c r="A70" s="55" t="s">
        <v>40</v>
      </c>
      <c r="B70" s="171">
        <v>41885</v>
      </c>
      <c r="C70" s="171">
        <v>44378</v>
      </c>
      <c r="D70" s="51" t="s">
        <v>1</v>
      </c>
      <c r="E70" s="168">
        <v>60000</v>
      </c>
      <c r="F70" s="51"/>
      <c r="G70" s="129">
        <v>3000</v>
      </c>
      <c r="H70" s="131"/>
      <c r="I70" s="143">
        <v>5573.4235799999997</v>
      </c>
      <c r="J70" s="148"/>
      <c r="K70" s="143">
        <f>112430.30228+I70</f>
        <v>118003.72586000001</v>
      </c>
      <c r="L70" s="143"/>
      <c r="M70" s="78" t="s">
        <v>101</v>
      </c>
    </row>
    <row r="71" spans="1:13" ht="51.75" customHeight="1">
      <c r="A71" s="55" t="s">
        <v>64</v>
      </c>
      <c r="B71" s="171"/>
      <c r="C71" s="171"/>
      <c r="D71" s="51" t="s">
        <v>1</v>
      </c>
      <c r="E71" s="220"/>
      <c r="F71" s="51"/>
      <c r="G71" s="129"/>
      <c r="H71" s="131"/>
      <c r="I71" s="143">
        <v>1503.7739200000001</v>
      </c>
      <c r="J71" s="148"/>
      <c r="K71" s="143">
        <f>431.91864+I71</f>
        <v>1935.69256</v>
      </c>
      <c r="L71" s="143"/>
      <c r="M71" s="78" t="s">
        <v>102</v>
      </c>
    </row>
    <row r="72" spans="1:13" ht="161.25" customHeight="1">
      <c r="A72" s="95" t="s">
        <v>113</v>
      </c>
      <c r="B72" s="93"/>
      <c r="C72" s="93"/>
      <c r="D72" s="113" t="s">
        <v>4</v>
      </c>
      <c r="E72" s="102"/>
      <c r="F72" s="102"/>
      <c r="G72" s="129">
        <v>1500</v>
      </c>
      <c r="H72" s="131"/>
      <c r="I72" s="129"/>
      <c r="J72" s="133"/>
      <c r="K72" s="129"/>
      <c r="L72" s="129"/>
      <c r="M72" s="96" t="s">
        <v>114</v>
      </c>
    </row>
    <row r="73" spans="1:13" ht="93" customHeight="1">
      <c r="A73" s="95" t="s">
        <v>115</v>
      </c>
      <c r="B73" s="93"/>
      <c r="C73" s="93"/>
      <c r="D73" s="113" t="s">
        <v>1</v>
      </c>
      <c r="E73" s="102"/>
      <c r="F73" s="102"/>
      <c r="G73" s="129"/>
      <c r="H73" s="131"/>
      <c r="I73" s="129"/>
      <c r="J73" s="133"/>
      <c r="K73" s="129"/>
      <c r="L73" s="129"/>
      <c r="M73" s="96" t="s">
        <v>116</v>
      </c>
    </row>
    <row r="74" spans="1:13" ht="104.25" customHeight="1">
      <c r="A74" s="95" t="s">
        <v>117</v>
      </c>
      <c r="B74" s="93"/>
      <c r="C74" s="93"/>
      <c r="D74" s="113" t="s">
        <v>4</v>
      </c>
      <c r="E74" s="102"/>
      <c r="F74" s="102"/>
      <c r="G74" s="129"/>
      <c r="H74" s="131"/>
      <c r="I74" s="129"/>
      <c r="J74" s="133"/>
      <c r="K74" s="129"/>
      <c r="L74" s="129"/>
      <c r="M74" s="96" t="s">
        <v>118</v>
      </c>
    </row>
    <row r="75" spans="1:13" ht="59.25" customHeight="1">
      <c r="A75" s="108" t="s">
        <v>126</v>
      </c>
      <c r="B75" s="104"/>
      <c r="C75" s="28"/>
      <c r="D75" s="113" t="s">
        <v>4</v>
      </c>
      <c r="E75" s="102"/>
      <c r="F75" s="102"/>
      <c r="G75" s="129"/>
      <c r="H75" s="131"/>
      <c r="I75" s="129"/>
      <c r="J75" s="133"/>
      <c r="K75" s="129"/>
      <c r="L75" s="129"/>
      <c r="M75" s="109" t="s">
        <v>128</v>
      </c>
    </row>
    <row r="76" spans="1:13" ht="66.75" customHeight="1" thickBot="1">
      <c r="A76" s="108" t="s">
        <v>127</v>
      </c>
      <c r="B76" s="104"/>
      <c r="C76" s="28"/>
      <c r="D76" s="113" t="s">
        <v>4</v>
      </c>
      <c r="E76" s="102"/>
      <c r="F76" s="102"/>
      <c r="G76" s="136"/>
      <c r="H76" s="137"/>
      <c r="I76" s="136"/>
      <c r="J76" s="138"/>
      <c r="K76" s="136"/>
      <c r="L76" s="136"/>
      <c r="M76" s="109" t="s">
        <v>128</v>
      </c>
    </row>
    <row r="77" spans="1:13" s="7" customFormat="1" ht="38.450000000000003" customHeight="1" thickBot="1">
      <c r="A77" s="181" t="s">
        <v>26</v>
      </c>
      <c r="B77" s="182"/>
      <c r="C77" s="182"/>
      <c r="D77" s="182"/>
      <c r="E77" s="182"/>
      <c r="F77" s="183"/>
      <c r="G77" s="35">
        <f>G78+G81+G82</f>
        <v>19830</v>
      </c>
      <c r="H77" s="35">
        <f>SUM(H78:H83)</f>
        <v>5510</v>
      </c>
      <c r="I77" s="35">
        <f>SUM(I78:I83)</f>
        <v>17886.137519999997</v>
      </c>
      <c r="J77" s="35">
        <f>SUM(J78:J83)</f>
        <v>4361.3429500000002</v>
      </c>
      <c r="K77" s="35">
        <f>SUM(K78:K83)</f>
        <v>83731.676686000006</v>
      </c>
      <c r="L77" s="35">
        <f>SUM(L78:L83)</f>
        <v>10964.826489999999</v>
      </c>
      <c r="M77" s="84"/>
    </row>
    <row r="78" spans="1:13" ht="109.9" customHeight="1">
      <c r="A78" s="219" t="s">
        <v>18</v>
      </c>
      <c r="B78" s="38">
        <v>42052</v>
      </c>
      <c r="C78" s="39">
        <v>44121</v>
      </c>
      <c r="D78" s="53" t="s">
        <v>0</v>
      </c>
      <c r="E78" s="53">
        <v>8610</v>
      </c>
      <c r="F78" s="53"/>
      <c r="G78" s="167">
        <v>6730</v>
      </c>
      <c r="H78" s="169">
        <v>5270</v>
      </c>
      <c r="I78" s="167">
        <v>8911.1662799999995</v>
      </c>
      <c r="J78" s="167">
        <v>4361.3429500000002</v>
      </c>
      <c r="K78" s="167">
        <f>16279.05301+I78</f>
        <v>25190.219290000001</v>
      </c>
      <c r="L78" s="167">
        <f>6102.55654+J78</f>
        <v>10463.89949</v>
      </c>
      <c r="M78" s="216" t="s">
        <v>170</v>
      </c>
    </row>
    <row r="79" spans="1:13" ht="93" customHeight="1">
      <c r="A79" s="176"/>
      <c r="B79" s="28">
        <v>41978</v>
      </c>
      <c r="C79" s="40">
        <v>42735</v>
      </c>
      <c r="D79" s="51" t="s">
        <v>1</v>
      </c>
      <c r="E79" s="51"/>
      <c r="F79" s="51">
        <v>500</v>
      </c>
      <c r="G79" s="168"/>
      <c r="H79" s="170"/>
      <c r="I79" s="168"/>
      <c r="J79" s="168"/>
      <c r="K79" s="168"/>
      <c r="L79" s="168"/>
      <c r="M79" s="217"/>
    </row>
    <row r="80" spans="1:13" ht="87" customHeight="1">
      <c r="A80" s="176"/>
      <c r="B80" s="28">
        <v>42052</v>
      </c>
      <c r="C80" s="41">
        <v>43513</v>
      </c>
      <c r="D80" s="51" t="s">
        <v>1</v>
      </c>
      <c r="E80" s="51"/>
      <c r="F80" s="51">
        <v>5300</v>
      </c>
      <c r="G80" s="168"/>
      <c r="H80" s="170"/>
      <c r="I80" s="168"/>
      <c r="J80" s="168"/>
      <c r="K80" s="168"/>
      <c r="L80" s="168"/>
      <c r="M80" s="218"/>
    </row>
    <row r="81" spans="1:13" ht="78" customHeight="1">
      <c r="A81" s="176" t="s">
        <v>17</v>
      </c>
      <c r="B81" s="171">
        <v>41964</v>
      </c>
      <c r="C81" s="171">
        <v>44408</v>
      </c>
      <c r="D81" s="174" t="s">
        <v>0</v>
      </c>
      <c r="E81" s="168">
        <v>32400</v>
      </c>
      <c r="F81" s="168"/>
      <c r="G81" s="129">
        <v>11000</v>
      </c>
      <c r="H81" s="129"/>
      <c r="I81" s="143">
        <v>7571.8114699999996</v>
      </c>
      <c r="J81" s="148"/>
      <c r="K81" s="143">
        <f>45181.823066+I81</f>
        <v>52753.634535999998</v>
      </c>
      <c r="L81" s="143"/>
      <c r="M81" s="123" t="s">
        <v>103</v>
      </c>
    </row>
    <row r="82" spans="1:13" ht="75.75" customHeight="1">
      <c r="A82" s="176"/>
      <c r="B82" s="171"/>
      <c r="C82" s="171"/>
      <c r="D82" s="174"/>
      <c r="E82" s="168"/>
      <c r="F82" s="168"/>
      <c r="G82" s="129">
        <v>2100</v>
      </c>
      <c r="H82" s="129"/>
      <c r="I82" s="143">
        <v>1403.15977</v>
      </c>
      <c r="J82" s="148"/>
      <c r="K82" s="143">
        <f>4384.66309+I82</f>
        <v>5787.8228600000002</v>
      </c>
      <c r="L82" s="143"/>
      <c r="M82" s="122" t="s">
        <v>104</v>
      </c>
    </row>
    <row r="83" spans="1:13" ht="97.5" customHeight="1" thickBot="1">
      <c r="A83" s="29" t="s">
        <v>21</v>
      </c>
      <c r="B83" s="30">
        <v>41946</v>
      </c>
      <c r="C83" s="42">
        <v>43190</v>
      </c>
      <c r="D83" s="36" t="s">
        <v>4</v>
      </c>
      <c r="E83" s="31"/>
      <c r="F83" s="31">
        <v>861</v>
      </c>
      <c r="G83" s="31"/>
      <c r="H83" s="66">
        <v>240</v>
      </c>
      <c r="I83" s="66"/>
      <c r="J83" s="31"/>
      <c r="K83" s="31"/>
      <c r="L83" s="31">
        <f>500.927+J83</f>
        <v>500.92700000000002</v>
      </c>
      <c r="M83" s="82" t="s">
        <v>135</v>
      </c>
    </row>
    <row r="84" spans="1:13" s="7" customFormat="1" ht="51" customHeight="1" thickBot="1">
      <c r="A84" s="178" t="s">
        <v>27</v>
      </c>
      <c r="B84" s="179"/>
      <c r="C84" s="179"/>
      <c r="D84" s="179"/>
      <c r="E84" s="179"/>
      <c r="F84" s="180"/>
      <c r="G84" s="37">
        <f t="shared" ref="G84:L84" si="4">SUM(G85:G86)</f>
        <v>0</v>
      </c>
      <c r="H84" s="37">
        <f t="shared" si="4"/>
        <v>4645</v>
      </c>
      <c r="I84" s="37">
        <f t="shared" si="4"/>
        <v>0</v>
      </c>
      <c r="J84" s="37">
        <f t="shared" si="4"/>
        <v>4209.6003899999996</v>
      </c>
      <c r="K84" s="37">
        <f t="shared" si="4"/>
        <v>0</v>
      </c>
      <c r="L84" s="37">
        <f t="shared" si="4"/>
        <v>26272.434399999998</v>
      </c>
      <c r="M84" s="85"/>
    </row>
    <row r="85" spans="1:13" ht="170.25" customHeight="1">
      <c r="A85" s="54" t="s">
        <v>23</v>
      </c>
      <c r="B85" s="38">
        <v>40119</v>
      </c>
      <c r="C85" s="56">
        <v>43465</v>
      </c>
      <c r="D85" s="53" t="s">
        <v>4</v>
      </c>
      <c r="E85" s="53"/>
      <c r="F85" s="62">
        <v>2267</v>
      </c>
      <c r="G85" s="62"/>
      <c r="H85" s="130">
        <v>1345</v>
      </c>
      <c r="I85" s="128"/>
      <c r="J85" s="149">
        <v>1375.8112000000001</v>
      </c>
      <c r="K85" s="142"/>
      <c r="L85" s="142">
        <f>6077.20889+J85</f>
        <v>7453.02009</v>
      </c>
      <c r="M85" s="83" t="s">
        <v>105</v>
      </c>
    </row>
    <row r="86" spans="1:13" ht="198.75" customHeight="1" thickBot="1">
      <c r="A86" s="29" t="s">
        <v>16</v>
      </c>
      <c r="B86" s="42">
        <v>40589</v>
      </c>
      <c r="C86" s="42">
        <v>43100</v>
      </c>
      <c r="D86" s="36" t="s">
        <v>4</v>
      </c>
      <c r="E86" s="31"/>
      <c r="F86" s="31">
        <v>8250</v>
      </c>
      <c r="G86" s="31"/>
      <c r="H86" s="66">
        <v>3300</v>
      </c>
      <c r="I86" s="31"/>
      <c r="J86" s="31">
        <v>2833.78919</v>
      </c>
      <c r="K86" s="31"/>
      <c r="L86" s="31">
        <f>15985.62512+J86</f>
        <v>18819.41431</v>
      </c>
      <c r="M86" s="82" t="s">
        <v>106</v>
      </c>
    </row>
    <row r="87" spans="1:13" s="7" customFormat="1" ht="33" customHeight="1" thickBot="1">
      <c r="A87" s="181" t="s">
        <v>5</v>
      </c>
      <c r="B87" s="182"/>
      <c r="C87" s="182"/>
      <c r="D87" s="182"/>
      <c r="E87" s="182"/>
      <c r="F87" s="183"/>
      <c r="G87" s="35">
        <f t="shared" ref="G87:L87" si="5">SUM(G88:G93)</f>
        <v>26800</v>
      </c>
      <c r="H87" s="35">
        <f t="shared" si="5"/>
        <v>64900</v>
      </c>
      <c r="I87" s="35">
        <f t="shared" si="5"/>
        <v>12244.347959999999</v>
      </c>
      <c r="J87" s="35">
        <f t="shared" si="5"/>
        <v>68037.666469999996</v>
      </c>
      <c r="K87" s="35">
        <f t="shared" si="5"/>
        <v>251666.68312</v>
      </c>
      <c r="L87" s="35">
        <f t="shared" si="5"/>
        <v>349836.5784614</v>
      </c>
      <c r="M87" s="84"/>
    </row>
    <row r="88" spans="1:13" ht="381" customHeight="1">
      <c r="A88" s="54" t="s">
        <v>65</v>
      </c>
      <c r="B88" s="38">
        <v>41103</v>
      </c>
      <c r="C88" s="38">
        <v>43767</v>
      </c>
      <c r="D88" s="58" t="s">
        <v>1</v>
      </c>
      <c r="E88" s="53"/>
      <c r="F88" s="53">
        <f>140000+2700</f>
        <v>142700</v>
      </c>
      <c r="G88" s="128"/>
      <c r="H88" s="130">
        <v>63900</v>
      </c>
      <c r="I88" s="140"/>
      <c r="J88" s="141">
        <v>68037.666469999996</v>
      </c>
      <c r="K88" s="140"/>
      <c r="L88" s="140">
        <f>281798.9119914+J88</f>
        <v>349836.5784614</v>
      </c>
      <c r="M88" s="83" t="s">
        <v>146</v>
      </c>
    </row>
    <row r="89" spans="1:13" ht="66" customHeight="1">
      <c r="A89" s="98" t="s">
        <v>53</v>
      </c>
      <c r="B89" s="50">
        <v>42661</v>
      </c>
      <c r="C89" s="50">
        <v>44377</v>
      </c>
      <c r="D89" s="51" t="s">
        <v>4</v>
      </c>
      <c r="E89" s="51">
        <v>14000</v>
      </c>
      <c r="F89" s="51"/>
      <c r="G89" s="129">
        <v>500</v>
      </c>
      <c r="H89" s="131">
        <v>1000</v>
      </c>
      <c r="I89" s="143">
        <v>329.45591999999999</v>
      </c>
      <c r="J89" s="143"/>
      <c r="K89" s="143">
        <f>I89</f>
        <v>329.45591999999999</v>
      </c>
      <c r="L89" s="27">
        <v>0</v>
      </c>
      <c r="M89" s="78" t="s">
        <v>141</v>
      </c>
    </row>
    <row r="90" spans="1:13" ht="45" customHeight="1">
      <c r="A90" s="59" t="s">
        <v>42</v>
      </c>
      <c r="B90" s="47">
        <v>42346</v>
      </c>
      <c r="C90" s="47">
        <v>43228</v>
      </c>
      <c r="D90" s="48" t="s">
        <v>4</v>
      </c>
      <c r="E90" s="48">
        <v>82821</v>
      </c>
      <c r="F90" s="51"/>
      <c r="G90" s="129">
        <v>15000</v>
      </c>
      <c r="H90" s="131"/>
      <c r="I90" s="143"/>
      <c r="J90" s="143"/>
      <c r="K90" s="143">
        <f>226048.34892+I90</f>
        <v>226048.34891999999</v>
      </c>
      <c r="L90" s="143"/>
      <c r="M90" s="78" t="s">
        <v>70</v>
      </c>
    </row>
    <row r="91" spans="1:13" ht="66.75" customHeight="1">
      <c r="A91" s="60" t="s">
        <v>68</v>
      </c>
      <c r="B91" s="47">
        <v>42929</v>
      </c>
      <c r="C91" s="47">
        <v>43830</v>
      </c>
      <c r="D91" s="48" t="s">
        <v>4</v>
      </c>
      <c r="E91" s="48">
        <v>5500</v>
      </c>
      <c r="F91" s="51">
        <v>1500</v>
      </c>
      <c r="G91" s="129">
        <v>1300</v>
      </c>
      <c r="H91" s="131"/>
      <c r="I91" s="143">
        <v>2191.3694799999998</v>
      </c>
      <c r="J91" s="143"/>
      <c r="K91" s="143">
        <f>8749.28036+I91</f>
        <v>10940.64984</v>
      </c>
      <c r="L91" s="27">
        <v>0</v>
      </c>
      <c r="M91" s="78" t="s">
        <v>136</v>
      </c>
    </row>
    <row r="92" spans="1:13" ht="53.25" customHeight="1">
      <c r="A92" s="60" t="s">
        <v>125</v>
      </c>
      <c r="B92" s="99"/>
      <c r="C92" s="99"/>
      <c r="D92" s="100"/>
      <c r="E92" s="100"/>
      <c r="F92" s="103"/>
      <c r="G92" s="132"/>
      <c r="H92" s="127"/>
      <c r="I92" s="146"/>
      <c r="J92" s="146"/>
      <c r="K92" s="114"/>
      <c r="L92" s="114"/>
      <c r="M92" s="101" t="s">
        <v>128</v>
      </c>
    </row>
    <row r="93" spans="1:13" s="9" customFormat="1" ht="99.75" customHeight="1" thickBot="1">
      <c r="A93" s="29" t="s">
        <v>35</v>
      </c>
      <c r="B93" s="42">
        <v>42457</v>
      </c>
      <c r="C93" s="42">
        <v>44316</v>
      </c>
      <c r="D93" s="36" t="s">
        <v>1</v>
      </c>
      <c r="E93" s="31">
        <v>23500</v>
      </c>
      <c r="F93" s="31"/>
      <c r="G93" s="31">
        <v>10000</v>
      </c>
      <c r="H93" s="66"/>
      <c r="I93" s="31">
        <v>9723.5225599999994</v>
      </c>
      <c r="J93" s="31"/>
      <c r="K93" s="31">
        <f>4624.70588+I93</f>
        <v>14348.228439999999</v>
      </c>
      <c r="L93" s="31"/>
      <c r="M93" s="82" t="s">
        <v>144</v>
      </c>
    </row>
    <row r="94" spans="1:13" s="6" customFormat="1" ht="40.5" customHeight="1" thickBot="1">
      <c r="A94" s="43"/>
      <c r="B94" s="44"/>
      <c r="C94" s="44"/>
      <c r="D94" s="45"/>
      <c r="E94" s="46"/>
      <c r="F94" s="37" t="s">
        <v>28</v>
      </c>
      <c r="G94" s="37">
        <f t="shared" ref="G94:L94" si="6">G87+G84+G77+G64+G55+G37+G7</f>
        <v>931125</v>
      </c>
      <c r="H94" s="37">
        <f t="shared" si="6"/>
        <v>100400</v>
      </c>
      <c r="I94" s="37">
        <f t="shared" si="6"/>
        <v>1056996.12457</v>
      </c>
      <c r="J94" s="37">
        <f t="shared" si="6"/>
        <v>107349.86420000001</v>
      </c>
      <c r="K94" s="37">
        <f t="shared" si="6"/>
        <v>5060470.0219550002</v>
      </c>
      <c r="L94" s="37">
        <f t="shared" si="6"/>
        <v>581358.58891140018</v>
      </c>
      <c r="M94" s="79"/>
    </row>
    <row r="95" spans="1:13" ht="26.25" customHeight="1">
      <c r="A95" s="10"/>
      <c r="B95" s="8"/>
      <c r="C95" s="8"/>
      <c r="D95" s="10"/>
      <c r="E95" s="10"/>
      <c r="F95" s="10"/>
      <c r="G95" s="10"/>
      <c r="H95" s="10"/>
      <c r="I95" s="10"/>
      <c r="J95" s="10"/>
      <c r="K95" s="10"/>
      <c r="L95" s="10"/>
    </row>
    <row r="96" spans="1:13" ht="24.75" customHeight="1">
      <c r="A96" s="177" t="s">
        <v>32</v>
      </c>
      <c r="B96" s="177"/>
      <c r="C96" s="177"/>
      <c r="D96" s="177"/>
      <c r="E96" s="177"/>
      <c r="F96" s="177"/>
      <c r="G96" s="177"/>
      <c r="H96" s="177"/>
      <c r="I96" s="177"/>
      <c r="J96" s="177"/>
      <c r="K96" s="177"/>
      <c r="L96" s="177"/>
    </row>
    <row r="97" spans="1:12" ht="24" customHeight="1">
      <c r="A97" s="1" t="s">
        <v>36</v>
      </c>
      <c r="B97" s="2"/>
      <c r="D97" s="1"/>
      <c r="E97" s="1"/>
      <c r="F97" s="1"/>
      <c r="H97" s="1"/>
      <c r="I97" s="1"/>
      <c r="J97" s="1"/>
      <c r="K97" s="1"/>
      <c r="L97" s="1"/>
    </row>
    <row r="98" spans="1:12">
      <c r="A98" s="1"/>
      <c r="B98" s="2"/>
      <c r="D98" s="1"/>
      <c r="E98" s="1"/>
      <c r="F98" s="1"/>
      <c r="H98" s="1"/>
      <c r="I98" s="1"/>
      <c r="J98" s="1"/>
      <c r="K98" s="1"/>
      <c r="L98" s="1"/>
    </row>
    <row r="99" spans="1:12" ht="39" customHeight="1">
      <c r="G99" s="11">
        <f>G94-'[1]WEB-2019'!$G$93</f>
        <v>0</v>
      </c>
      <c r="H99" s="12">
        <f>H94-'[1]WEB-2019'!$H$93</f>
        <v>0</v>
      </c>
      <c r="I99" s="12">
        <f>I94-'[2]WEB-2019'!$I$94</f>
        <v>0</v>
      </c>
      <c r="J99" s="12">
        <f>J94-'[2]WEB-2019'!$J$94</f>
        <v>0</v>
      </c>
      <c r="K99" s="12">
        <f>K94-'[2]WEB-2019'!$K$94</f>
        <v>0</v>
      </c>
      <c r="L99" s="12">
        <f>L94-'[2]WEB-2019'!$L$94</f>
        <v>0</v>
      </c>
    </row>
    <row r="100" spans="1:12" ht="21.75" customHeight="1">
      <c r="G100" s="11"/>
      <c r="H100" s="12"/>
      <c r="I100" s="12"/>
      <c r="J100" s="12"/>
      <c r="K100" s="12"/>
      <c r="L100" s="12"/>
    </row>
  </sheetData>
  <mergeCells count="150">
    <mergeCell ref="M66:M67"/>
    <mergeCell ref="A10:A11"/>
    <mergeCell ref="A57:A58"/>
    <mergeCell ref="B57:B58"/>
    <mergeCell ref="C57:C58"/>
    <mergeCell ref="F57:F58"/>
    <mergeCell ref="H57:H58"/>
    <mergeCell ref="C41:C42"/>
    <mergeCell ref="A37:F37"/>
    <mergeCell ref="L30:L31"/>
    <mergeCell ref="I12:I13"/>
    <mergeCell ref="K30:K31"/>
    <mergeCell ref="J30:J31"/>
    <mergeCell ref="B66:B68"/>
    <mergeCell ref="C66:C68"/>
    <mergeCell ref="D66:D68"/>
    <mergeCell ref="E66:E68"/>
    <mergeCell ref="A14:A15"/>
    <mergeCell ref="B30:B31"/>
    <mergeCell ref="F30:F31"/>
    <mergeCell ref="G30:G31"/>
    <mergeCell ref="H30:H31"/>
    <mergeCell ref="I30:I31"/>
    <mergeCell ref="I14:I15"/>
    <mergeCell ref="L78:L80"/>
    <mergeCell ref="M78:M80"/>
    <mergeCell ref="A78:A80"/>
    <mergeCell ref="G78:G80"/>
    <mergeCell ref="H78:H80"/>
    <mergeCell ref="I78:I80"/>
    <mergeCell ref="J78:J80"/>
    <mergeCell ref="B70:B71"/>
    <mergeCell ref="C70:C71"/>
    <mergeCell ref="E70:E71"/>
    <mergeCell ref="M4:M5"/>
    <mergeCell ref="M8:M9"/>
    <mergeCell ref="M12:M13"/>
    <mergeCell ref="M30:M31"/>
    <mergeCell ref="M41:M42"/>
    <mergeCell ref="M10:M11"/>
    <mergeCell ref="M57:M58"/>
    <mergeCell ref="J57:J58"/>
    <mergeCell ref="G57:G58"/>
    <mergeCell ref="I57:I58"/>
    <mergeCell ref="K57:K58"/>
    <mergeCell ref="L57:L58"/>
    <mergeCell ref="I5:J5"/>
    <mergeCell ref="K5:L5"/>
    <mergeCell ref="K4:L4"/>
    <mergeCell ref="I4:J4"/>
    <mergeCell ref="L41:L42"/>
    <mergeCell ref="M44:M45"/>
    <mergeCell ref="J44:J45"/>
    <mergeCell ref="K44:K45"/>
    <mergeCell ref="L44:L45"/>
    <mergeCell ref="I41:I42"/>
    <mergeCell ref="G41:G42"/>
    <mergeCell ref="H41:H42"/>
    <mergeCell ref="A8:A9"/>
    <mergeCell ref="A30:A31"/>
    <mergeCell ref="G4:H4"/>
    <mergeCell ref="G5:H5"/>
    <mergeCell ref="C4:C5"/>
    <mergeCell ref="D4:F4"/>
    <mergeCell ref="A12:A13"/>
    <mergeCell ref="A4:A5"/>
    <mergeCell ref="B4:B5"/>
    <mergeCell ref="D5:F5"/>
    <mergeCell ref="A7:F7"/>
    <mergeCell ref="G10:G11"/>
    <mergeCell ref="G8:G9"/>
    <mergeCell ref="B10:B11"/>
    <mergeCell ref="C10:C11"/>
    <mergeCell ref="G12:G13"/>
    <mergeCell ref="C30:C31"/>
    <mergeCell ref="F12:F13"/>
    <mergeCell ref="B8:B9"/>
    <mergeCell ref="G14:G15"/>
    <mergeCell ref="B14:B15"/>
    <mergeCell ref="C14:C15"/>
    <mergeCell ref="A18:A19"/>
    <mergeCell ref="G18:G19"/>
    <mergeCell ref="A81:A82"/>
    <mergeCell ref="B81:B82"/>
    <mergeCell ref="C81:C82"/>
    <mergeCell ref="D81:D82"/>
    <mergeCell ref="E81:E82"/>
    <mergeCell ref="F81:F82"/>
    <mergeCell ref="A96:L96"/>
    <mergeCell ref="F41:F42"/>
    <mergeCell ref="A84:F84"/>
    <mergeCell ref="A87:F87"/>
    <mergeCell ref="J41:J42"/>
    <mergeCell ref="K41:K42"/>
    <mergeCell ref="A55:F55"/>
    <mergeCell ref="A64:F64"/>
    <mergeCell ref="A77:F77"/>
    <mergeCell ref="A41:A42"/>
    <mergeCell ref="B41:B42"/>
    <mergeCell ref="A44:A45"/>
    <mergeCell ref="B44:B45"/>
    <mergeCell ref="C44:C45"/>
    <mergeCell ref="G44:G45"/>
    <mergeCell ref="H44:H45"/>
    <mergeCell ref="I44:I45"/>
    <mergeCell ref="K78:K80"/>
    <mergeCell ref="B12:B13"/>
    <mergeCell ref="C8:C9"/>
    <mergeCell ref="C12:C13"/>
    <mergeCell ref="J10:J11"/>
    <mergeCell ref="I10:I11"/>
    <mergeCell ref="F8:F9"/>
    <mergeCell ref="K10:K11"/>
    <mergeCell ref="J8:J9"/>
    <mergeCell ref="H12:H13"/>
    <mergeCell ref="H10:H11"/>
    <mergeCell ref="B20:B21"/>
    <mergeCell ref="C20:C21"/>
    <mergeCell ref="D20:D21"/>
    <mergeCell ref="E19:E21"/>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 ref="M25:M26"/>
    <mergeCell ref="C25:C26"/>
    <mergeCell ref="A25:A26"/>
    <mergeCell ref="D25:D26"/>
    <mergeCell ref="G25:G26"/>
    <mergeCell ref="H25:H26"/>
    <mergeCell ref="I25:I26"/>
    <mergeCell ref="J25:J26"/>
    <mergeCell ref="K25:K26"/>
    <mergeCell ref="L25:L26"/>
  </mergeCells>
  <printOptions horizontalCentered="1"/>
  <pageMargins left="0" right="0" top="0.19685039370078741" bottom="0.23622047244094491" header="0" footer="0"/>
  <pageSetup paperSize="9" scale="31" fitToHeight="0" orientation="landscape" r:id="rId1"/>
  <headerFooter alignWithMargins="0"/>
  <rowBreaks count="2" manualBreakCount="2">
    <brk id="36" max="12" man="1"/>
    <brk id="8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2020-02-04T07:25:12Z</cp:lastPrinted>
  <dcterms:created xsi:type="dcterms:W3CDTF">2011-04-14T08:42:21Z</dcterms:created>
  <dcterms:modified xsi:type="dcterms:W3CDTF">2020-02-04T07:28:36Z</dcterms:modified>
</cp:coreProperties>
</file>