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20\"/>
    </mc:Choice>
  </mc:AlternateContent>
  <bookViews>
    <workbookView xWindow="11130" yWindow="2520" windowWidth="11190" windowHeight="9660" tabRatio="200"/>
  </bookViews>
  <sheets>
    <sheet name="WEB-2019" sheetId="12" r:id="rId1"/>
  </sheets>
  <definedNames>
    <definedName name="_xlnm.Print_Area" localSheetId="0">'WEB-2019'!$A$1:$N$97</definedName>
    <definedName name="_xlnm.Print_Titles" localSheetId="0">'WEB-2019'!$A:$A,'WEB-2019'!$4:$6</definedName>
  </definedNames>
  <calcPr calcId="162913"/>
</workbook>
</file>

<file path=xl/calcChain.xml><?xml version="1.0" encoding="utf-8"?>
<calcChain xmlns="http://schemas.openxmlformats.org/spreadsheetml/2006/main">
  <c r="L53" i="12" l="1"/>
  <c r="K53" i="12"/>
  <c r="I7" i="12"/>
  <c r="J37" i="12" l="1"/>
  <c r="K54" i="12" l="1"/>
  <c r="G64" i="12" l="1"/>
  <c r="K89" i="12"/>
  <c r="K81" i="12" l="1"/>
  <c r="K25" i="12" l="1"/>
  <c r="L88" i="12" l="1"/>
  <c r="K90" i="12"/>
  <c r="K91" i="12"/>
  <c r="K93" i="12"/>
  <c r="H64" i="12" l="1"/>
  <c r="I64" i="12"/>
  <c r="J64" i="12"/>
  <c r="L64" i="12"/>
  <c r="I55" i="12" l="1"/>
  <c r="K12" i="12" l="1"/>
  <c r="K10" i="12"/>
  <c r="K14" i="12" l="1"/>
  <c r="I37" i="12" l="1"/>
  <c r="K52" i="12"/>
  <c r="J87" i="12" l="1"/>
  <c r="I87" i="12"/>
  <c r="H87" i="12"/>
  <c r="G87" i="12"/>
  <c r="J55" i="12" l="1"/>
  <c r="H55" i="12"/>
  <c r="G55" i="12"/>
  <c r="G37" i="12"/>
  <c r="L17" i="12" l="1"/>
  <c r="L38" i="12"/>
  <c r="K38" i="12"/>
  <c r="K39" i="12"/>
  <c r="L40" i="12"/>
  <c r="K40" i="12"/>
  <c r="K41" i="12"/>
  <c r="K43" i="12"/>
  <c r="K44" i="12"/>
  <c r="K46" i="12"/>
  <c r="K47" i="12"/>
  <c r="L48" i="12"/>
  <c r="K48" i="12"/>
  <c r="K50" i="12"/>
  <c r="L63" i="12"/>
  <c r="L62" i="12"/>
  <c r="K62" i="12"/>
  <c r="K61" i="12"/>
  <c r="L61" i="12"/>
  <c r="L60" i="12"/>
  <c r="K60" i="12"/>
  <c r="K59" i="12"/>
  <c r="K57" i="12"/>
  <c r="L56" i="12"/>
  <c r="K56" i="12"/>
  <c r="L83" i="12"/>
  <c r="K82" i="12"/>
  <c r="L78" i="12"/>
  <c r="K78" i="12"/>
  <c r="L86" i="12"/>
  <c r="L85" i="12"/>
  <c r="L87" i="12"/>
  <c r="K34" i="12"/>
  <c r="K21" i="12"/>
  <c r="K71" i="12"/>
  <c r="K70" i="12"/>
  <c r="K67" i="12"/>
  <c r="K66" i="12"/>
  <c r="K65" i="12"/>
  <c r="K36" i="12"/>
  <c r="K35" i="12"/>
  <c r="K33" i="12"/>
  <c r="K32" i="12"/>
  <c r="K30" i="12"/>
  <c r="K20" i="12"/>
  <c r="K24" i="12"/>
  <c r="K18" i="12"/>
  <c r="K17" i="12"/>
  <c r="K16" i="12"/>
  <c r="K8" i="12"/>
  <c r="K87" i="12" l="1"/>
  <c r="K64" i="12"/>
  <c r="L37" i="12"/>
  <c r="K37" i="12"/>
  <c r="K7" i="12"/>
  <c r="K55" i="12"/>
  <c r="L55" i="12"/>
  <c r="G7" i="12"/>
  <c r="H77" i="12" l="1"/>
  <c r="L77" i="12"/>
  <c r="K77" i="12"/>
  <c r="J77" i="12"/>
  <c r="I77" i="12"/>
  <c r="G77" i="12"/>
  <c r="H37" i="12" l="1"/>
  <c r="F60" i="12" l="1"/>
  <c r="E60" i="12"/>
  <c r="E41" i="12" l="1"/>
  <c r="E58" i="12" l="1"/>
  <c r="L7" i="12" l="1"/>
  <c r="J7" i="12"/>
  <c r="H7" i="12"/>
  <c r="H84" i="12" l="1"/>
  <c r="H94" i="12" s="1"/>
  <c r="I84" i="12"/>
  <c r="I94" i="12" s="1"/>
  <c r="J84" i="12"/>
  <c r="J94" i="12" s="1"/>
  <c r="K84" i="12"/>
  <c r="G84" i="12"/>
  <c r="G94" i="12" s="1"/>
  <c r="K94" i="12" l="1"/>
  <c r="L84" i="12"/>
  <c r="L94" i="12" s="1"/>
  <c r="E57" i="12" l="1"/>
  <c r="E42" i="12"/>
  <c r="E66" i="12" l="1"/>
  <c r="F88" i="12"/>
</calcChain>
</file>

<file path=xl/sharedStrings.xml><?xml version="1.0" encoding="utf-8"?>
<sst xmlns="http://schemas.openxmlformats.org/spreadsheetml/2006/main" count="270" uniqueCount="187">
  <si>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</si>
  <si>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</si>
  <si>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</si>
  <si>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</si>
  <si>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</si>
  <si>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</si>
  <si>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</si>
  <si>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</si>
  <si>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</si>
  <si>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</si>
  <si>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</si>
  <si>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</si>
  <si>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</si>
  <si>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</si>
  <si>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</si>
  <si>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</si>
  <si>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</si>
  <si>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</si>
  <si>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</si>
  <si>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</si>
  <si>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</si>
  <si>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</si>
  <si>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</si>
  <si>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</si>
  <si>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</si>
  <si>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</si>
  <si>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</si>
  <si>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</si>
  <si>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</si>
  <si>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</si>
  <si>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</si>
  <si>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</si>
  <si>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</si>
  <si>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</si>
  <si>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</si>
  <si>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</si>
  <si>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</si>
  <si>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</si>
  <si>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</si>
  <si>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</si>
  <si>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</si>
  <si>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</si>
  <si>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</si>
  <si>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</si>
  <si>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</si>
  <si>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</si>
  <si>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</si>
  <si>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</si>
  <si>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</si>
  <si>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</si>
  <si>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</si>
  <si>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</si>
  <si>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</si>
  <si>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</si>
  <si>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</si>
  <si>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</si>
  <si>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</si>
  <si>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</si>
  <si>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</si>
  <si>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</si>
  <si>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</si>
  <si>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</si>
  <si>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</si>
  <si>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</si>
  <si>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</si>
  <si>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</si>
  <si>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</si>
  <si>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</si>
  <si>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</si>
  <si>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</si>
  <si>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</si>
  <si>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</si>
  <si>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</si>
  <si>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</si>
  <si>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</si>
  <si>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</si>
  <si>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</si>
  <si>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</si>
  <si>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</si>
  <si>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</si>
  <si>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</si>
  <si>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</si>
  <si>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</si>
  <si>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</si>
  <si>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</si>
  <si>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</si>
  <si>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</si>
  <si>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</si>
  <si>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</si>
  <si>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</si>
  <si>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</si>
  <si>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</si>
  <si>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</si>
  <si>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</si>
  <si>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</si>
  <si>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</si>
  <si>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</si>
  <si>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</si>
  <si>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</si>
  <si>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</si>
  <si>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</si>
  <si>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</si>
  <si>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</si>
  <si>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</si>
  <si>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</si>
  <si>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</si>
  <si>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</si>
  <si>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</si>
  <si>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</si>
  <si>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</si>
  <si>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</si>
  <si>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</si>
  <si>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</si>
  <si>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</si>
  <si>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</si>
  <si>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</si>
  <si>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</si>
  <si>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</si>
  <si>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</si>
  <si>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</si>
  <si>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</si>
  <si>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</si>
  <si>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</si>
  <si>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</si>
  <si>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</si>
  <si>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</si>
  <si>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</si>
  <si>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</si>
  <si>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</si>
  <si>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</si>
  <si>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</si>
  <si>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</si>
  <si>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</si>
  <si>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</si>
  <si>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</si>
  <si>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</si>
  <si>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</si>
  <si>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</si>
  <si>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</si>
  <si>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</si>
  <si>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</si>
  <si>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</si>
  <si>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</si>
  <si>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</si>
  <si>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</si>
  <si>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</si>
  <si>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</si>
  <si>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</si>
  <si>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</si>
  <si>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</si>
  <si>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</si>
  <si>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</si>
  <si>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28.02.2020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</si>
  <si>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</si>
  <si>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</si>
  <si>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</si>
  <si>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</si>
  <si>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</si>
  <si>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</si>
  <si>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</t>
  </si>
  <si>
    <r>
      <rPr>
        <b/>
        <sz val="10"/>
        <rFont val="Franklin Gothic Book"/>
        <family val="2"/>
        <scheme val="minor"/>
      </rPr>
      <t xml:space="preserve">
</t>
    </r>
    <r>
      <rPr>
        <b/>
        <sz val="11"/>
        <rFont val="Franklin Gothic Book"/>
        <family val="2"/>
        <scheme val="minor"/>
      </rPr>
      <t>საქართველოს რეგიონებში საჯარო სკოლების რემონტი/რეაბილიტაცია</t>
    </r>
    <r>
      <rPr>
        <sz val="11"/>
        <rFont val="Franklin Gothic Book"/>
        <family val="2"/>
        <scheme val="minor"/>
      </rPr>
      <t xml:space="preserve">
- 91  საჯარო სკოლის სრული რეაბილიტაცია და 91</t>
    </r>
    <r>
      <rPr>
        <sz val="11"/>
        <color rgb="FFFF0000"/>
        <rFont val="Franklin Gothic Book"/>
        <family val="2"/>
        <scheme val="minor"/>
      </rPr>
      <t xml:space="preserve"> </t>
    </r>
    <r>
      <rPr>
        <sz val="11"/>
        <rFont val="Franklin Gothic Book"/>
        <family val="2"/>
        <scheme val="minor"/>
      </rPr>
      <t xml:space="preserve"> საჯარო სკოლის საბუნებისმეტყველო ლაბორატორიებით აღჭურვა შიდა და ქვემო ქართლის, სამცხე-ჯავახეთის, რაჭა-ლეჩხუმისა და ქვემო სვანეთის, კახეთის, იმერეთის, გურიის რეგიონებში და აჭარის ა/რ. (დასრულდა);</t>
    </r>
    <r>
      <rPr>
        <b/>
        <sz val="11"/>
        <rFont val="Franklin Gothic Book"/>
        <family val="2"/>
        <scheme val="minor"/>
      </rPr>
      <t xml:space="preserve">
მასწავლებელთა კვალიფიკაციის ამაღლება</t>
    </r>
    <r>
      <rPr>
        <sz val="11"/>
        <rFont val="Franklin Gothic Book"/>
        <family val="2"/>
        <scheme val="minor"/>
      </rPr>
      <t xml:space="preserve">
- ზოგადპროფესიული კურსის ფარგლებში მონაწილეობა მიიღო ჯამში 17 656  მასწავლებელმა, მათ შორის, 1 861 არაქართულენოვანი სკოლებიდან. ზოგადპროფესიული კურსის სამივე მოდული წარმატებით დაასრულა 12 339 (მათ შორის, 1 104 არაქართულენოვანი) მასწავლებელმა.
- საგნობრივი მეთოდიკის კურსის (ფიზიკა, მათემატიკა, ბიოლოგია, ქიმია, ინგლისური და ინფორმაციული ტექნოლოგიები) ფარგლებში ტრენინგი წარმატებით გაიარა 14 859 (მათ შორის, 1  229 არაქართულენოვანი) მასწავლებელმა.</t>
    </r>
    <r>
      <rPr>
        <b/>
        <sz val="11"/>
        <rFont val="Franklin Gothic Book"/>
        <family val="2"/>
        <scheme val="minor"/>
      </rPr>
      <t xml:space="preserve">
სკოლის დირექტორთა კვალიფიკაციის ამაღლება</t>
    </r>
    <r>
      <rPr>
        <sz val="11"/>
        <rFont val="Franklin Gothic Book"/>
        <family val="2"/>
        <scheme val="minor"/>
      </rPr>
      <t xml:space="preserve">
-  ლიდერობის აკადემია 1   წარმატებით დაასრულა 1 820  (მათ შორის, 167 არაქართულენოვანმა) დირექტორმა.
-  ლიდერობის აკადემია 2   წარმატებით დაასრულა 1  621 -მა დირექტორმა, მათ შორის, 182 არაქართულენოვანი სკოლებიდან.
-  ლიდერობის აკადემია 3 წარმატებით დაასრულა  1 718-მა  (მათ შორის, 152 არაქართულენოვანი) დირექტორმა.</t>
    </r>
    <r>
      <rPr>
        <b/>
        <sz val="11"/>
        <rFont val="Franklin Gothic Book"/>
        <family val="2"/>
        <scheme val="minor"/>
      </rPr>
      <t xml:space="preserve">
უმაღლესი და პროფესიული განათლება  </t>
    </r>
    <r>
      <rPr>
        <sz val="11"/>
        <rFont val="Franklin Gothic Book"/>
        <family val="2"/>
        <scheme val="minor"/>
      </rPr>
      <t xml:space="preserve">
-  პროფესიული განათლების პროექტის ფარგლებში შეიქმნა შრომის ბაზრის მოთხოვნების შესაბამისი  51  ახალი პროფესიული საგანმანათლებლო პროგრამები 10 პროფესიულ დაწესებულებაში; 
-  საქართველოს სამ პატრნიორ უნივერსიტეტში (თსუ, ისუ, სტუ) ერთიანი ეროვნული გამოცდების გავლით განხორციელდა სტუდენტების ოთხი ნაკადის მიღება სან დიეგოს სახელმწიფო უნივერსიტეტში,  77-მა პროფესორმა ამავე უნივერსიტეტში, კალიფორნიაში გაიარა  პროფესიული განვითარების/გადამზადების პროგრამა; პარტნიორ ქართულ სახელმწიფო უნივერსიტეტებში (თსუ, ისუ, სტუ) განხორციელდა 5000 კვ.მ სასწავლო სამეცნიერო ფართის რეაბილიტაცია და ლაბორატორიული აღჭურვა.</t>
    </r>
    <r>
      <rPr>
        <sz val="10"/>
        <rFont val="Franklin Gothic Book"/>
        <family val="2"/>
        <scheme val="minor"/>
      </rPr>
      <t xml:space="preserve">
  </t>
    </r>
    <r>
      <rPr>
        <sz val="11"/>
        <rFont val="Franklin Gothic Book"/>
        <family val="2"/>
        <scheme val="minor"/>
      </rPr>
      <t xml:space="preserve">
</t>
    </r>
    <r>
      <rPr>
        <b/>
        <sz val="12"/>
        <rFont val="Franklin Gothic Book"/>
        <family val="2"/>
        <scheme val="minor"/>
      </rPr>
      <t xml:space="preserve">
</t>
    </r>
    <r>
      <rPr>
        <sz val="12"/>
        <rFont val="Franklin Gothic Book"/>
        <family val="2"/>
        <scheme val="minor"/>
      </rPr>
      <t xml:space="preserve">
</t>
    </r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</si>
  <si>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  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</si>
  <si>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</si>
  <si>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</si>
  <si>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</si>
  <si>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</si>
  <si>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</si>
  <si>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და თბილისი-ლაგოდეხის მონაკვეთებზე მიმდინარეობს დეტალური პროექტის მომზადების სამუშაოები.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</si>
  <si>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</si>
  <si>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
- ბათუმი-სარფის მონაკვეთზე მიმდინარეობს  დეტალური პროექტის მომზადების სამუშაოები.</t>
  </si>
  <si>
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სამობილიზაციო და მოსამზადებელი სამუშაოები).</t>
  </si>
  <si>
    <t>მდინარე რიონზე ფოთის ხიდის მშენებლობა (გამოცხადდა  ფოთის ხიდისა და მისასვლელი გზების მშენებლობის ტენდერი).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</si>
  <si>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(ADB)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</si>
  <si>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</si>
  <si>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</si>
  <si>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>2019 წლის  31 დეკემბრის  მდგომარეობით (ათას ერთეულში)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</si>
  <si>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</si>
  <si>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-სინოჰიდროსთან. კმ0-კმ7.7-ის დასრულება დაგეგმილია 2020 წლის ივლისის ბოლოს, ხოლო II ლოტის დარჩენილ მონაკვეთზე (კმ7.7-კმ14.6) უახლოეს პერიოდში იგეგმება ტენდერის გამოცხადება. 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</si>
  <si>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  მიმდინარეობს წინასაკვალიფიკაციო ეტაპი, დოკუმენტაციის წარმოდგენის ბოლო ვადაა 2020 წლის 04 თებერვალი)
 - ფოთი-გრიგოლეთის მონაკვეთი (დეტალური პროექტის მომზადების სამუშაოები დასრულდა).</t>
  </si>
  <si>
    <r>
      <t>მცხეთა-სტე</t>
    </r>
    <r>
      <rPr>
        <sz val="12"/>
        <rFont val="Franklin Gothic Book"/>
        <family val="2"/>
        <scheme val="minor"/>
      </rPr>
      <t>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 მიმდინარეობს მოსამზადებელი სამუშაოები).</t>
    </r>
  </si>
  <si>
    <t>ბილისი-სენაკი-ლესელიძის საავტომობილო გზის შორაპანი-არგვეთას მონაკვეთის რეკონსტრუქცია-მშენებლობა. (ხელშეკრულების გაფორმება დაგეგმილია იანვრის თვეში).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</si>
  <si>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დაფინანსების წყაროს მოძიება).</t>
  </si>
  <si>
    <t xml:space="preserve"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რეაბილიტაცია), საიდანაც 10 მონაკვეთი  დასრულებულია, 2 მონაკვეთზე მიმდინარეობს სამუშაოები.
- ბაკურციხე-წნორი და გურჯაანი-თელავის მონაკვეთი (დასრულდა დეტალური პროექტის მომზადება).  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</si>
  <si>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ლოტზე)  მიმდინარეობს დოკუმენტაციის მომზადება ხელახალი ტენდერისთვის, რომლის გამოცხადებაც დაგეგმილია 2020 წლის თებერვლის თვეში;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</si>
  <si>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r>
  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</t>
    </r>
    <r>
      <rPr>
        <sz val="12"/>
        <rFont val="Franklin Gothic Book"/>
        <family val="2"/>
        <scheme val="minor"/>
      </rPr>
      <t>ა.</t>
    </r>
  </si>
  <si>
    <r>
      <rPr>
        <sz val="11"/>
        <color theme="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</t>
    </r>
    <r>
      <rPr>
        <sz val="11"/>
        <rFont val="Franklin Gothic Book"/>
        <family val="2"/>
        <scheme val="minor"/>
      </rPr>
      <t>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სამუშაოები)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</si>
  <si>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r>
      <rPr>
        <b/>
        <sz val="12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rFont val="Franklin Gothic Book"/>
        <family val="2"/>
        <scheme val="minor"/>
      </rPr>
      <t xml:space="preserve">
-  მიმდინარეობს ხელშეკრულების მომზადება ტირიფონის სარწყავი სისტემის გამანაწილებლის (გ-3 გამანაწილებლის შიდა ქსელის და გ-3-2-1)  რეაბილიტაციის სამუშაოებზე (შიდა ქართლი, გორი);
-  სრულდება  ქვემო ალაზანის გამანაწილებელი არხისა (გ-32 და გ-35)  და მისი სხვა რიგის გამანაწილებლების სარეაბილიტაციო სამუშაოები (კახეთი, გურჯაანი);
-  სრულდება სალთვისის სარწყავი სისტემის გამანაწილებლების (ალტერნეტიული და ძლევიჯვარის არხები) და შიდა ქსელის სარეაბილიტაციო სამუშაოები (შიდა ქართლი, გორი, ქარელი);
- სრულდება  იაკუბლოს წყალსაცავის (ქვემო ქართლი, დმანისი) რეაბილიტაცია.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</si>
</sst>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left" vertical="center" wrapText="1"/>
    </xf>
    <xf numFmtId="165" fontId="5" fillId="0" borderId="39" xfId="1" applyNumberFormat="1" applyFont="1" applyFill="1" applyBorder="1" applyAlignment="1">
      <alignment horizontal="center" vertical="center" wrapText="1"/>
    </xf>
    <xf numFmtId="164" fontId="5" fillId="0" borderId="39" xfId="1" applyNumberFormat="1" applyFont="1" applyFill="1" applyBorder="1" applyAlignment="1">
      <alignment horizontal="center" vertical="center"/>
    </xf>
    <xf numFmtId="164" fontId="6" fillId="0" borderId="39" xfId="1" applyNumberFormat="1" applyFont="1" applyFill="1" applyBorder="1" applyAlignment="1">
      <alignment horizontal="center" vertical="center"/>
    </xf>
    <xf numFmtId="164" fontId="5" fillId="2" borderId="39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 wrapText="1"/>
    </xf>
    <xf numFmtId="49" fontId="6" fillId="0" borderId="40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4" xfId="4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164" fontId="5" fillId="0" borderId="4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5" fillId="0" borderId="41" xfId="1" quotePrefix="1" applyNumberFormat="1" applyFont="1" applyFill="1" applyBorder="1" applyAlignment="1">
      <alignment horizontal="center" vertical="center"/>
    </xf>
    <xf numFmtId="164" fontId="5" fillId="0" borderId="42" xfId="1" quotePrefix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03"/>
  <sheetViews>
    <sheetView tabSelected="1" view="pageBreakPreview" topLeftCell="A88" zoomScale="60" zoomScaleNormal="60" zoomScalePageLayoutView="20" workbookViewId="0">
      <selection activeCell="A91" sqref="A91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22.8867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5.33203125" style="1" customWidth="1"/>
    <col min="13" max="13" width="28.77734375" style="5" hidden="1" customWidth="1"/>
    <col min="14" max="14" width="104.55468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18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09"/>
    </row>
    <row r="3" spans="1:14" ht="27" customHeight="1" thickBot="1">
      <c r="A3" s="119" t="s">
        <v>175</v>
      </c>
      <c r="B3" s="24"/>
      <c r="C3" s="24"/>
      <c r="D3" s="25"/>
      <c r="E3" s="25"/>
      <c r="F3" s="25"/>
      <c r="G3" s="25"/>
      <c r="H3" s="88"/>
      <c r="I3" s="25"/>
      <c r="J3" s="25"/>
      <c r="K3" s="25"/>
      <c r="L3" s="25"/>
      <c r="M3" s="25"/>
    </row>
    <row r="4" spans="1:14" s="7" customFormat="1" ht="75.599999999999994" customHeight="1">
      <c r="A4" s="244" t="s">
        <v>10</v>
      </c>
      <c r="B4" s="234" t="s">
        <v>91</v>
      </c>
      <c r="C4" s="234" t="s">
        <v>48</v>
      </c>
      <c r="D4" s="225" t="s">
        <v>38</v>
      </c>
      <c r="E4" s="225"/>
      <c r="F4" s="225"/>
      <c r="G4" s="247" t="s">
        <v>108</v>
      </c>
      <c r="H4" s="247"/>
      <c r="I4" s="225" t="s">
        <v>109</v>
      </c>
      <c r="J4" s="225"/>
      <c r="K4" s="225" t="s">
        <v>50</v>
      </c>
      <c r="L4" s="225"/>
      <c r="M4" s="228" t="s">
        <v>0</v>
      </c>
      <c r="N4" s="230" t="s">
        <v>37</v>
      </c>
    </row>
    <row r="5" spans="1:14" s="7" customFormat="1" ht="54" customHeight="1" thickBot="1">
      <c r="A5" s="245"/>
      <c r="B5" s="235"/>
      <c r="C5" s="235"/>
      <c r="D5" s="236" t="s">
        <v>34</v>
      </c>
      <c r="E5" s="236"/>
      <c r="F5" s="236"/>
      <c r="G5" s="248" t="s">
        <v>45</v>
      </c>
      <c r="H5" s="248"/>
      <c r="I5" s="236" t="s">
        <v>45</v>
      </c>
      <c r="J5" s="236"/>
      <c r="K5" s="236" t="s">
        <v>45</v>
      </c>
      <c r="L5" s="236"/>
      <c r="M5" s="229"/>
      <c r="N5" s="231"/>
    </row>
    <row r="6" spans="1:14" ht="30.75" customHeight="1" thickBot="1">
      <c r="A6" s="120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89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0"/>
    </row>
    <row r="7" spans="1:14" s="8" customFormat="1" ht="36.75" customHeight="1" thickBot="1">
      <c r="A7" s="241" t="s">
        <v>13</v>
      </c>
      <c r="B7" s="242"/>
      <c r="C7" s="242"/>
      <c r="D7" s="242"/>
      <c r="E7" s="242"/>
      <c r="F7" s="243"/>
      <c r="G7" s="30">
        <f t="shared" ref="G7:L7" si="0">SUM(G8:G36)</f>
        <v>541550</v>
      </c>
      <c r="H7" s="90">
        <f t="shared" si="0"/>
        <v>8050</v>
      </c>
      <c r="I7" s="30">
        <f>SUM(I8:I36)</f>
        <v>604994.91665999987</v>
      </c>
      <c r="J7" s="30">
        <f t="shared" si="0"/>
        <v>7451.2172799999998</v>
      </c>
      <c r="K7" s="30">
        <f t="shared" si="0"/>
        <v>2607493.8268500008</v>
      </c>
      <c r="L7" s="30">
        <f t="shared" si="0"/>
        <v>38447.066619999998</v>
      </c>
      <c r="M7" s="31"/>
      <c r="N7" s="111"/>
    </row>
    <row r="8" spans="1:14" ht="90" customHeight="1">
      <c r="A8" s="260" t="s">
        <v>35</v>
      </c>
      <c r="B8" s="226">
        <v>41431</v>
      </c>
      <c r="C8" s="262">
        <v>43830</v>
      </c>
      <c r="D8" s="64" t="s">
        <v>24</v>
      </c>
      <c r="E8" s="64">
        <v>24500</v>
      </c>
      <c r="F8" s="233"/>
      <c r="G8" s="233">
        <v>4000</v>
      </c>
      <c r="H8" s="252"/>
      <c r="I8" s="233">
        <v>14768.58101</v>
      </c>
      <c r="J8" s="251"/>
      <c r="K8" s="233">
        <f>148859.28356+I8</f>
        <v>163627.86457000001</v>
      </c>
      <c r="L8" s="233"/>
      <c r="M8" s="259" t="s">
        <v>42</v>
      </c>
      <c r="N8" s="256" t="s">
        <v>167</v>
      </c>
    </row>
    <row r="9" spans="1:14" ht="113.25" customHeight="1">
      <c r="A9" s="246"/>
      <c r="B9" s="227"/>
      <c r="C9" s="261"/>
      <c r="D9" s="63" t="s">
        <v>25</v>
      </c>
      <c r="E9" s="63">
        <v>38000</v>
      </c>
      <c r="F9" s="232"/>
      <c r="G9" s="232"/>
      <c r="H9" s="249"/>
      <c r="I9" s="232"/>
      <c r="J9" s="250"/>
      <c r="K9" s="232"/>
      <c r="L9" s="232"/>
      <c r="M9" s="258"/>
      <c r="N9" s="257"/>
    </row>
    <row r="10" spans="1:14" s="10" customFormat="1" ht="69" customHeight="1">
      <c r="A10" s="246" t="s">
        <v>66</v>
      </c>
      <c r="B10" s="227">
        <v>42410</v>
      </c>
      <c r="C10" s="261">
        <v>45291</v>
      </c>
      <c r="D10" s="63" t="s">
        <v>25</v>
      </c>
      <c r="E10" s="63">
        <v>140000</v>
      </c>
      <c r="F10" s="63"/>
      <c r="G10" s="232">
        <v>37225</v>
      </c>
      <c r="H10" s="249"/>
      <c r="I10" s="232">
        <v>65640.254119999998</v>
      </c>
      <c r="J10" s="250"/>
      <c r="K10" s="232">
        <f>102576.23686+I10</f>
        <v>168216.49098</v>
      </c>
      <c r="L10" s="232"/>
      <c r="M10" s="65"/>
      <c r="N10" s="222" t="s">
        <v>177</v>
      </c>
    </row>
    <row r="11" spans="1:14" s="10" customFormat="1" ht="138" customHeight="1">
      <c r="A11" s="246"/>
      <c r="B11" s="227"/>
      <c r="C11" s="261"/>
      <c r="D11" s="63" t="s">
        <v>31</v>
      </c>
      <c r="E11" s="63">
        <v>49450</v>
      </c>
      <c r="F11" s="63"/>
      <c r="G11" s="232"/>
      <c r="H11" s="249"/>
      <c r="I11" s="232"/>
      <c r="J11" s="250"/>
      <c r="K11" s="232"/>
      <c r="L11" s="232"/>
      <c r="M11" s="65"/>
      <c r="N11" s="257"/>
    </row>
    <row r="12" spans="1:14" ht="50.45" customHeight="1">
      <c r="A12" s="246" t="s">
        <v>29</v>
      </c>
      <c r="B12" s="227">
        <v>40115</v>
      </c>
      <c r="C12" s="227">
        <v>43737</v>
      </c>
      <c r="D12" s="63" t="s">
        <v>24</v>
      </c>
      <c r="E12" s="63">
        <v>75892</v>
      </c>
      <c r="F12" s="232"/>
      <c r="G12" s="232">
        <v>4000</v>
      </c>
      <c r="H12" s="249"/>
      <c r="I12" s="232">
        <v>19144.737730000001</v>
      </c>
      <c r="J12" s="232"/>
      <c r="K12" s="232">
        <f>372829.86217+I12</f>
        <v>391974.59989999997</v>
      </c>
      <c r="L12" s="232"/>
      <c r="M12" s="258" t="s">
        <v>42</v>
      </c>
      <c r="N12" s="215" t="s">
        <v>168</v>
      </c>
    </row>
    <row r="13" spans="1:14" ht="60.75" customHeight="1">
      <c r="A13" s="246"/>
      <c r="B13" s="227"/>
      <c r="C13" s="227"/>
      <c r="D13" s="63" t="s">
        <v>28</v>
      </c>
      <c r="E13" s="63">
        <v>140000</v>
      </c>
      <c r="F13" s="232"/>
      <c r="G13" s="232"/>
      <c r="H13" s="249"/>
      <c r="I13" s="232"/>
      <c r="J13" s="232"/>
      <c r="K13" s="232"/>
      <c r="L13" s="232"/>
      <c r="M13" s="258"/>
      <c r="N13" s="216"/>
    </row>
    <row r="14" spans="1:14" ht="39.6" customHeight="1">
      <c r="A14" s="237" t="s">
        <v>78</v>
      </c>
      <c r="B14" s="239">
        <v>42898</v>
      </c>
      <c r="C14" s="239">
        <v>45107</v>
      </c>
      <c r="D14" s="71" t="s">
        <v>31</v>
      </c>
      <c r="E14" s="71">
        <v>108190</v>
      </c>
      <c r="F14" s="213"/>
      <c r="G14" s="213">
        <v>36500</v>
      </c>
      <c r="H14" s="223"/>
      <c r="I14" s="223">
        <v>56851.147570000001</v>
      </c>
      <c r="J14" s="213"/>
      <c r="K14" s="213">
        <f>61088.39635+I14</f>
        <v>117939.54392</v>
      </c>
      <c r="L14" s="213"/>
      <c r="M14" s="65"/>
      <c r="N14" s="215" t="s">
        <v>169</v>
      </c>
    </row>
    <row r="15" spans="1:14" s="14" customFormat="1" ht="60" customHeight="1">
      <c r="A15" s="238"/>
      <c r="B15" s="240"/>
      <c r="C15" s="240"/>
      <c r="D15" s="71" t="s">
        <v>25</v>
      </c>
      <c r="E15" s="71">
        <v>114000</v>
      </c>
      <c r="F15" s="214"/>
      <c r="G15" s="214"/>
      <c r="H15" s="224"/>
      <c r="I15" s="224"/>
      <c r="J15" s="214"/>
      <c r="K15" s="214"/>
      <c r="L15" s="214"/>
      <c r="M15" s="72"/>
      <c r="N15" s="216"/>
    </row>
    <row r="16" spans="1:14" ht="123" customHeight="1">
      <c r="A16" s="121" t="s">
        <v>32</v>
      </c>
      <c r="B16" s="62">
        <v>40163</v>
      </c>
      <c r="C16" s="36">
        <v>45101</v>
      </c>
      <c r="D16" s="63" t="s">
        <v>30</v>
      </c>
      <c r="E16" s="63">
        <v>22132000</v>
      </c>
      <c r="F16" s="63"/>
      <c r="G16" s="83">
        <v>1600</v>
      </c>
      <c r="H16" s="71"/>
      <c r="I16" s="63">
        <v>1512.77683</v>
      </c>
      <c r="J16" s="63"/>
      <c r="K16" s="83">
        <f>395400.05161+I16</f>
        <v>396912.82844000001</v>
      </c>
      <c r="L16" s="63"/>
      <c r="M16" s="65" t="s">
        <v>42</v>
      </c>
      <c r="N16" s="69" t="s">
        <v>116</v>
      </c>
    </row>
    <row r="17" spans="1:14" ht="120.75" customHeight="1">
      <c r="A17" s="121" t="s">
        <v>57</v>
      </c>
      <c r="B17" s="62">
        <v>41040</v>
      </c>
      <c r="C17" s="62">
        <v>43797</v>
      </c>
      <c r="D17" s="63" t="s">
        <v>31</v>
      </c>
      <c r="E17" s="63">
        <v>200000</v>
      </c>
      <c r="F17" s="63">
        <v>20000</v>
      </c>
      <c r="G17" s="131">
        <v>38000</v>
      </c>
      <c r="H17" s="133">
        <v>8050</v>
      </c>
      <c r="I17" s="63">
        <v>53986.061090000003</v>
      </c>
      <c r="J17" s="63">
        <v>7451.2172799999998</v>
      </c>
      <c r="K17" s="83">
        <f>299698.79166+I17</f>
        <v>353684.85274999996</v>
      </c>
      <c r="L17" s="63">
        <f>30995.84934+J17</f>
        <v>38447.066619999998</v>
      </c>
      <c r="M17" s="65" t="s">
        <v>42</v>
      </c>
      <c r="N17" s="183" t="s">
        <v>178</v>
      </c>
    </row>
    <row r="18" spans="1:14" s="14" customFormat="1" ht="41.45" customHeight="1">
      <c r="A18" s="217" t="s">
        <v>105</v>
      </c>
      <c r="B18" s="102" t="s">
        <v>103</v>
      </c>
      <c r="C18" s="102" t="s">
        <v>104</v>
      </c>
      <c r="D18" s="101" t="s">
        <v>31</v>
      </c>
      <c r="E18" s="101">
        <v>16900</v>
      </c>
      <c r="F18" s="96"/>
      <c r="G18" s="213">
        <v>45600</v>
      </c>
      <c r="H18" s="223"/>
      <c r="I18" s="213">
        <v>59513.806080000002</v>
      </c>
      <c r="J18" s="213"/>
      <c r="K18" s="213">
        <f>125.74445+I18</f>
        <v>59639.55053</v>
      </c>
      <c r="L18" s="213"/>
      <c r="M18" s="97"/>
      <c r="N18" s="222" t="s">
        <v>170</v>
      </c>
    </row>
    <row r="19" spans="1:14" s="14" customFormat="1" ht="60.6" customHeight="1">
      <c r="A19" s="218"/>
      <c r="B19" s="193">
        <v>42713</v>
      </c>
      <c r="C19" s="193">
        <v>44539</v>
      </c>
      <c r="D19" s="194" t="s">
        <v>31</v>
      </c>
      <c r="E19" s="213">
        <v>250000</v>
      </c>
      <c r="F19" s="76"/>
      <c r="G19" s="214"/>
      <c r="H19" s="224"/>
      <c r="I19" s="214"/>
      <c r="J19" s="214"/>
      <c r="K19" s="214"/>
      <c r="L19" s="214"/>
      <c r="M19" s="87"/>
      <c r="N19" s="216"/>
    </row>
    <row r="20" spans="1:14" s="14" customFormat="1" ht="63.75" customHeight="1">
      <c r="A20" s="121" t="s">
        <v>98</v>
      </c>
      <c r="B20" s="219">
        <v>42713</v>
      </c>
      <c r="C20" s="219">
        <v>44539</v>
      </c>
      <c r="D20" s="213" t="s">
        <v>31</v>
      </c>
      <c r="E20" s="221"/>
      <c r="F20" s="76"/>
      <c r="G20" s="83">
        <v>16050</v>
      </c>
      <c r="H20" s="178"/>
      <c r="I20" s="179">
        <v>13324.994629999999</v>
      </c>
      <c r="J20" s="76"/>
      <c r="K20" s="83">
        <f>201682.00984+I20</f>
        <v>215007.00447000001</v>
      </c>
      <c r="L20" s="76"/>
      <c r="M20" s="87"/>
      <c r="N20" s="188" t="s">
        <v>162</v>
      </c>
    </row>
    <row r="21" spans="1:14" s="14" customFormat="1" ht="51.6" customHeight="1">
      <c r="A21" s="121" t="s">
        <v>99</v>
      </c>
      <c r="B21" s="220"/>
      <c r="C21" s="220"/>
      <c r="D21" s="214"/>
      <c r="E21" s="214"/>
      <c r="F21" s="76"/>
      <c r="G21" s="83">
        <v>26000</v>
      </c>
      <c r="H21" s="76"/>
      <c r="I21" s="187">
        <v>11875.322120000001</v>
      </c>
      <c r="J21" s="76"/>
      <c r="K21" s="83">
        <f>20357.40381+I21</f>
        <v>32232.725930000001</v>
      </c>
      <c r="L21" s="76"/>
      <c r="M21" s="87"/>
      <c r="N21" s="188" t="s">
        <v>163</v>
      </c>
    </row>
    <row r="22" spans="1:14" s="14" customFormat="1" ht="72.599999999999994" customHeight="1">
      <c r="A22" s="121" t="s">
        <v>100</v>
      </c>
      <c r="B22" s="193"/>
      <c r="C22" s="193"/>
      <c r="D22" s="194"/>
      <c r="E22" s="194"/>
      <c r="F22" s="76"/>
      <c r="G22" s="83"/>
      <c r="H22" s="76"/>
      <c r="I22" s="76"/>
      <c r="J22" s="76"/>
      <c r="K22" s="83"/>
      <c r="L22" s="76"/>
      <c r="M22" s="87"/>
      <c r="N22" s="188" t="s">
        <v>157</v>
      </c>
    </row>
    <row r="23" spans="1:14" s="14" customFormat="1" ht="56.25" customHeight="1">
      <c r="A23" s="121" t="s">
        <v>101</v>
      </c>
      <c r="B23" s="193"/>
      <c r="C23" s="193"/>
      <c r="D23" s="194"/>
      <c r="E23" s="194"/>
      <c r="F23" s="76"/>
      <c r="G23" s="83"/>
      <c r="H23" s="76"/>
      <c r="I23" s="76"/>
      <c r="J23" s="76"/>
      <c r="K23" s="83"/>
      <c r="L23" s="76"/>
      <c r="M23" s="87"/>
      <c r="N23" s="104" t="s">
        <v>117</v>
      </c>
    </row>
    <row r="24" spans="1:14" s="14" customFormat="1" ht="53.45" customHeight="1">
      <c r="A24" s="121" t="s">
        <v>97</v>
      </c>
      <c r="B24" s="193">
        <v>43378</v>
      </c>
      <c r="C24" s="210">
        <v>45657.123206018521</v>
      </c>
      <c r="D24" s="194" t="s">
        <v>31</v>
      </c>
      <c r="E24" s="194">
        <v>255297</v>
      </c>
      <c r="F24" s="76"/>
      <c r="G24" s="83">
        <v>7550</v>
      </c>
      <c r="H24" s="76"/>
      <c r="I24" s="166">
        <v>11868.967000000001</v>
      </c>
      <c r="J24" s="76"/>
      <c r="K24" s="83">
        <f>113756.3746+I24</f>
        <v>125625.3416</v>
      </c>
      <c r="L24" s="76"/>
      <c r="M24" s="87"/>
      <c r="N24" s="188" t="s">
        <v>161</v>
      </c>
    </row>
    <row r="25" spans="1:14" s="14" customFormat="1" ht="36" customHeight="1">
      <c r="A25" s="217" t="s">
        <v>174</v>
      </c>
      <c r="B25" s="193">
        <v>43704</v>
      </c>
      <c r="C25" s="219">
        <v>45291</v>
      </c>
      <c r="D25" s="213" t="s">
        <v>31</v>
      </c>
      <c r="E25" s="194">
        <v>370236</v>
      </c>
      <c r="F25" s="76"/>
      <c r="G25" s="213">
        <v>228275</v>
      </c>
      <c r="H25" s="213"/>
      <c r="I25" s="213">
        <v>223666.14134</v>
      </c>
      <c r="J25" s="213"/>
      <c r="K25" s="213">
        <f>I25</f>
        <v>223666.14134</v>
      </c>
      <c r="L25" s="213"/>
      <c r="M25" s="87"/>
      <c r="N25" s="215" t="s">
        <v>179</v>
      </c>
    </row>
    <row r="26" spans="1:14" s="14" customFormat="1" ht="28.9" customHeight="1">
      <c r="A26" s="218"/>
      <c r="B26" s="211">
        <v>43749</v>
      </c>
      <c r="C26" s="220"/>
      <c r="D26" s="214"/>
      <c r="E26" s="212">
        <v>53400</v>
      </c>
      <c r="F26" s="76"/>
      <c r="G26" s="214"/>
      <c r="H26" s="214"/>
      <c r="I26" s="214"/>
      <c r="J26" s="214"/>
      <c r="K26" s="214"/>
      <c r="L26" s="214"/>
      <c r="M26" s="87"/>
      <c r="N26" s="216"/>
    </row>
    <row r="27" spans="1:14" s="14" customFormat="1" ht="77.25" customHeight="1">
      <c r="A27" s="208" t="s">
        <v>172</v>
      </c>
      <c r="B27" s="77"/>
      <c r="C27" s="77"/>
      <c r="D27" s="76"/>
      <c r="E27" s="76"/>
      <c r="F27" s="76"/>
      <c r="G27" s="83">
        <v>10250</v>
      </c>
      <c r="H27" s="76"/>
      <c r="I27" s="76"/>
      <c r="J27" s="76"/>
      <c r="K27" s="83"/>
      <c r="L27" s="76"/>
      <c r="M27" s="87"/>
      <c r="N27" s="209" t="s">
        <v>180</v>
      </c>
    </row>
    <row r="28" spans="1:14" s="14" customFormat="1" ht="75" customHeight="1">
      <c r="A28" s="121" t="s">
        <v>165</v>
      </c>
      <c r="B28" s="77"/>
      <c r="C28" s="77"/>
      <c r="D28" s="76"/>
      <c r="E28" s="76"/>
      <c r="F28" s="76"/>
      <c r="G28" s="83"/>
      <c r="H28" s="76"/>
      <c r="I28" s="76"/>
      <c r="J28" s="76"/>
      <c r="K28" s="83"/>
      <c r="L28" s="76"/>
      <c r="M28" s="87"/>
      <c r="N28" s="209" t="s">
        <v>171</v>
      </c>
    </row>
    <row r="29" spans="1:14" s="14" customFormat="1" ht="70.5" customHeight="1">
      <c r="A29" s="121" t="s">
        <v>176</v>
      </c>
      <c r="B29" s="77"/>
      <c r="C29" s="77"/>
      <c r="D29" s="76"/>
      <c r="E29" s="76"/>
      <c r="F29" s="76"/>
      <c r="G29" s="83"/>
      <c r="H29" s="76"/>
      <c r="I29" s="76"/>
      <c r="J29" s="76"/>
      <c r="K29" s="83"/>
      <c r="L29" s="76"/>
      <c r="M29" s="87"/>
      <c r="N29" s="104" t="s">
        <v>181</v>
      </c>
    </row>
    <row r="30" spans="1:14" s="4" customFormat="1" ht="27.6" customHeight="1">
      <c r="A30" s="246" t="s">
        <v>1</v>
      </c>
      <c r="B30" s="227">
        <v>40990</v>
      </c>
      <c r="C30" s="227">
        <v>43646</v>
      </c>
      <c r="D30" s="63" t="s">
        <v>24</v>
      </c>
      <c r="E30" s="63">
        <v>25800</v>
      </c>
      <c r="F30" s="232"/>
      <c r="G30" s="232">
        <v>2300</v>
      </c>
      <c r="H30" s="249"/>
      <c r="I30" s="232">
        <v>1186.08332</v>
      </c>
      <c r="J30" s="250"/>
      <c r="K30" s="232">
        <f>126586.68242+I30</f>
        <v>127772.76574</v>
      </c>
      <c r="L30" s="232"/>
      <c r="M30" s="258" t="s">
        <v>42</v>
      </c>
      <c r="N30" s="222" t="s">
        <v>173</v>
      </c>
    </row>
    <row r="31" spans="1:14" s="4" customFormat="1" ht="36" customHeight="1">
      <c r="A31" s="246"/>
      <c r="B31" s="227"/>
      <c r="C31" s="227"/>
      <c r="D31" s="63" t="s">
        <v>25</v>
      </c>
      <c r="E31" s="63">
        <v>30000</v>
      </c>
      <c r="F31" s="232"/>
      <c r="G31" s="232"/>
      <c r="H31" s="249"/>
      <c r="I31" s="232"/>
      <c r="J31" s="250"/>
      <c r="K31" s="232"/>
      <c r="L31" s="232"/>
      <c r="M31" s="258"/>
      <c r="N31" s="257"/>
    </row>
    <row r="32" spans="1:14" s="4" customFormat="1" ht="108" customHeight="1">
      <c r="A32" s="121" t="s">
        <v>46</v>
      </c>
      <c r="B32" s="62">
        <v>41829</v>
      </c>
      <c r="C32" s="102">
        <v>44012</v>
      </c>
      <c r="D32" s="63" t="s">
        <v>25</v>
      </c>
      <c r="E32" s="63">
        <v>75000</v>
      </c>
      <c r="F32" s="63"/>
      <c r="G32" s="83">
        <v>36000</v>
      </c>
      <c r="H32" s="71"/>
      <c r="I32" s="63">
        <v>41000.326480000003</v>
      </c>
      <c r="J32" s="63"/>
      <c r="K32" s="83">
        <f>111232.66285+I32</f>
        <v>152232.98933000001</v>
      </c>
      <c r="L32" s="63"/>
      <c r="M32" s="65" t="s">
        <v>42</v>
      </c>
      <c r="N32" s="207" t="s">
        <v>182</v>
      </c>
    </row>
    <row r="33" spans="1:17" s="4" customFormat="1" ht="147.75" customHeight="1">
      <c r="A33" s="100" t="s">
        <v>63</v>
      </c>
      <c r="B33" s="62">
        <v>42457</v>
      </c>
      <c r="C33" s="62">
        <v>44561</v>
      </c>
      <c r="D33" s="63" t="s">
        <v>25</v>
      </c>
      <c r="E33" s="63">
        <v>40000</v>
      </c>
      <c r="F33" s="63"/>
      <c r="G33" s="83">
        <v>24000</v>
      </c>
      <c r="H33" s="71"/>
      <c r="I33" s="63">
        <v>9759.4199000000008</v>
      </c>
      <c r="J33" s="63"/>
      <c r="K33" s="83">
        <f>31603.92074+I33</f>
        <v>41363.340640000002</v>
      </c>
      <c r="L33" s="63"/>
      <c r="M33" s="65"/>
      <c r="N33" s="207" t="s">
        <v>183</v>
      </c>
    </row>
    <row r="34" spans="1:17" s="4" customFormat="1" ht="72.599999999999994" customHeight="1">
      <c r="A34" s="100" t="s">
        <v>94</v>
      </c>
      <c r="B34" s="196" t="s">
        <v>95</v>
      </c>
      <c r="C34" s="196" t="s">
        <v>96</v>
      </c>
      <c r="D34" s="197" t="s">
        <v>25</v>
      </c>
      <c r="E34" s="197">
        <v>80000</v>
      </c>
      <c r="F34" s="197"/>
      <c r="G34" s="197">
        <v>15400</v>
      </c>
      <c r="H34" s="198"/>
      <c r="I34" s="197">
        <v>18476.51917</v>
      </c>
      <c r="J34" s="197"/>
      <c r="K34" s="197">
        <f>15769.12805+I34</f>
        <v>34245.647219999999</v>
      </c>
      <c r="L34" s="197"/>
      <c r="M34" s="200"/>
      <c r="N34" s="192" t="s">
        <v>164</v>
      </c>
      <c r="O34" s="197"/>
      <c r="P34" s="200"/>
      <c r="Q34" s="199"/>
    </row>
    <row r="35" spans="1:17" s="4" customFormat="1" ht="72" customHeight="1">
      <c r="A35" s="100" t="s">
        <v>64</v>
      </c>
      <c r="B35" s="62">
        <v>42752</v>
      </c>
      <c r="C35" s="62">
        <v>44196</v>
      </c>
      <c r="D35" s="63" t="s">
        <v>67</v>
      </c>
      <c r="E35" s="63">
        <v>8000</v>
      </c>
      <c r="F35" s="63"/>
      <c r="G35" s="83">
        <v>8500</v>
      </c>
      <c r="H35" s="71"/>
      <c r="I35" s="63">
        <v>1271.4614200000001</v>
      </c>
      <c r="J35" s="63"/>
      <c r="K35" s="83">
        <f>795.30622+I35</f>
        <v>2066.76764</v>
      </c>
      <c r="L35" s="63"/>
      <c r="M35" s="65"/>
      <c r="N35" s="192" t="s">
        <v>184</v>
      </c>
    </row>
    <row r="36" spans="1:17" s="4" customFormat="1" ht="63.75" customHeight="1" thickBot="1">
      <c r="A36" s="122" t="s">
        <v>65</v>
      </c>
      <c r="B36" s="37">
        <v>42734</v>
      </c>
      <c r="C36" s="37">
        <v>43830</v>
      </c>
      <c r="D36" s="38" t="s">
        <v>31</v>
      </c>
      <c r="E36" s="38">
        <v>6000</v>
      </c>
      <c r="F36" s="38"/>
      <c r="G36" s="38">
        <v>300</v>
      </c>
      <c r="H36" s="80"/>
      <c r="I36" s="38">
        <v>1148.3168499999999</v>
      </c>
      <c r="J36" s="38"/>
      <c r="K36" s="38">
        <f>137.055+I36</f>
        <v>1285.37185</v>
      </c>
      <c r="L36" s="38"/>
      <c r="M36" s="39"/>
      <c r="N36" s="74" t="s">
        <v>159</v>
      </c>
    </row>
    <row r="37" spans="1:17" s="8" customFormat="1" ht="38.450000000000003" customHeight="1" thickBot="1">
      <c r="A37" s="263" t="s">
        <v>12</v>
      </c>
      <c r="B37" s="264"/>
      <c r="C37" s="264"/>
      <c r="D37" s="264"/>
      <c r="E37" s="264"/>
      <c r="F37" s="265"/>
      <c r="G37" s="40">
        <f>G38+G39+G40+G41+G43+G44+G46+G47+G49+G50+G51+G48+G53+G54</f>
        <v>138330</v>
      </c>
      <c r="H37" s="91">
        <f>H38+H39+H40+H41+H43+H44+H46+H47+H49+H50+H51+H48+H53+H54</f>
        <v>6100</v>
      </c>
      <c r="I37" s="40">
        <f>I38+I39+I40+I41+I43+I44+I46+I47+I49+I50+I51+I48+I53+I54+I52</f>
        <v>153525.90445</v>
      </c>
      <c r="J37" s="40">
        <f>J38+J39+J40+J41+J43+J44+J46+J47+J49+J50+J51+J48+J53+J54+J52</f>
        <v>6570.667550000001</v>
      </c>
      <c r="K37" s="40">
        <f>K38+K39+K40+K41+K43+K44+K46+K47+K49+K50+K51+K48+K53+K54+K52</f>
        <v>923655.81716999982</v>
      </c>
      <c r="L37" s="40">
        <f>L38+L39+L40+L41+L43+L44+L46+L47+L49+L50+L51+L48+L53+L54+L52</f>
        <v>20547.211209999998</v>
      </c>
      <c r="M37" s="41"/>
      <c r="N37" s="112"/>
      <c r="P37" s="11"/>
    </row>
    <row r="38" spans="1:17" ht="82.5" customHeight="1">
      <c r="A38" s="202" t="s">
        <v>51</v>
      </c>
      <c r="B38" s="42">
        <v>41869</v>
      </c>
      <c r="C38" s="42" t="s">
        <v>156</v>
      </c>
      <c r="D38" s="43" t="s">
        <v>25</v>
      </c>
      <c r="E38" s="43">
        <v>30000</v>
      </c>
      <c r="F38" s="43">
        <v>5000</v>
      </c>
      <c r="G38" s="43">
        <v>8800</v>
      </c>
      <c r="H38" s="78">
        <v>3600</v>
      </c>
      <c r="I38" s="43">
        <v>10034.90501</v>
      </c>
      <c r="J38" s="205">
        <v>3378.0462600000001</v>
      </c>
      <c r="K38" s="43">
        <f>42550.40846+I38</f>
        <v>52585.313470000001</v>
      </c>
      <c r="L38" s="43">
        <f>4758.74569+J38</f>
        <v>8136.7919499999998</v>
      </c>
      <c r="M38" s="44"/>
      <c r="N38" s="113" t="s">
        <v>118</v>
      </c>
    </row>
    <row r="39" spans="1:17" ht="86.25" customHeight="1">
      <c r="A39" s="123" t="s">
        <v>6</v>
      </c>
      <c r="B39" s="67">
        <v>40227</v>
      </c>
      <c r="C39" s="185">
        <v>44196</v>
      </c>
      <c r="D39" s="66" t="s">
        <v>31</v>
      </c>
      <c r="E39" s="66">
        <v>3000</v>
      </c>
      <c r="F39" s="66"/>
      <c r="G39" s="84">
        <v>3000</v>
      </c>
      <c r="H39" s="79"/>
      <c r="I39" s="66">
        <v>2327.0277999999998</v>
      </c>
      <c r="J39" s="205"/>
      <c r="K39" s="84">
        <f>74.757+I39</f>
        <v>2401.7847999999999</v>
      </c>
      <c r="L39" s="66"/>
      <c r="M39" s="68" t="s">
        <v>39</v>
      </c>
      <c r="N39" s="114" t="s">
        <v>119</v>
      </c>
    </row>
    <row r="40" spans="1:17" ht="134.25" customHeight="1">
      <c r="A40" s="123" t="s">
        <v>58</v>
      </c>
      <c r="B40" s="67">
        <v>41621</v>
      </c>
      <c r="C40" s="185">
        <v>44926</v>
      </c>
      <c r="D40" s="66" t="s">
        <v>31</v>
      </c>
      <c r="E40" s="66">
        <v>20000</v>
      </c>
      <c r="F40" s="66">
        <v>2000</v>
      </c>
      <c r="G40" s="84"/>
      <c r="H40" s="79">
        <v>1000</v>
      </c>
      <c r="I40" s="66"/>
      <c r="J40" s="205">
        <v>1505.5334399999999</v>
      </c>
      <c r="K40" s="45">
        <f>7439.85874+I40</f>
        <v>7439.8587399999997</v>
      </c>
      <c r="L40" s="66">
        <f>4849.88963+J40</f>
        <v>6355.4230699999998</v>
      </c>
      <c r="M40" s="68" t="s">
        <v>47</v>
      </c>
      <c r="N40" s="114" t="s">
        <v>120</v>
      </c>
    </row>
    <row r="41" spans="1:17" ht="73.900000000000006" customHeight="1">
      <c r="A41" s="280" t="s">
        <v>22</v>
      </c>
      <c r="B41" s="254">
        <v>40350</v>
      </c>
      <c r="C41" s="254">
        <v>44196</v>
      </c>
      <c r="D41" s="66" t="s">
        <v>24</v>
      </c>
      <c r="E41" s="66">
        <f>57986+10639</f>
        <v>68625</v>
      </c>
      <c r="F41" s="255"/>
      <c r="G41" s="271">
        <v>44150</v>
      </c>
      <c r="H41" s="273"/>
      <c r="I41" s="255">
        <v>49788.816639999997</v>
      </c>
      <c r="J41" s="255"/>
      <c r="K41" s="277">
        <f>358756.19854+I41</f>
        <v>408545.01517999999</v>
      </c>
      <c r="L41" s="255"/>
      <c r="M41" s="270" t="s">
        <v>40</v>
      </c>
      <c r="N41" s="266" t="s">
        <v>121</v>
      </c>
    </row>
    <row r="42" spans="1:17" ht="100.5" customHeight="1">
      <c r="A42" s="280"/>
      <c r="B42" s="254"/>
      <c r="C42" s="254"/>
      <c r="D42" s="66" t="s">
        <v>25</v>
      </c>
      <c r="E42" s="66">
        <f>48886+73000+20000</f>
        <v>141886</v>
      </c>
      <c r="F42" s="255"/>
      <c r="G42" s="272"/>
      <c r="H42" s="273"/>
      <c r="I42" s="255"/>
      <c r="J42" s="255"/>
      <c r="K42" s="278"/>
      <c r="L42" s="255"/>
      <c r="M42" s="270"/>
      <c r="N42" s="266"/>
    </row>
    <row r="43" spans="1:17" ht="111" customHeight="1">
      <c r="A43" s="203" t="s">
        <v>2</v>
      </c>
      <c r="B43" s="67">
        <v>40996</v>
      </c>
      <c r="C43" s="81">
        <v>43220</v>
      </c>
      <c r="D43" s="66" t="s">
        <v>25</v>
      </c>
      <c r="E43" s="66">
        <v>60000</v>
      </c>
      <c r="F43" s="66"/>
      <c r="G43" s="176">
        <v>30</v>
      </c>
      <c r="H43" s="79"/>
      <c r="I43" s="66"/>
      <c r="J43" s="46"/>
      <c r="K43" s="84">
        <f>102881.35442+I43</f>
        <v>102881.35442</v>
      </c>
      <c r="L43" s="66"/>
      <c r="M43" s="68" t="s">
        <v>40</v>
      </c>
      <c r="N43" s="114" t="s">
        <v>122</v>
      </c>
    </row>
    <row r="44" spans="1:17" ht="72" customHeight="1">
      <c r="A44" s="253" t="s">
        <v>3</v>
      </c>
      <c r="B44" s="254">
        <v>41222</v>
      </c>
      <c r="C44" s="254">
        <v>43830</v>
      </c>
      <c r="D44" s="66" t="s">
        <v>24</v>
      </c>
      <c r="E44" s="66">
        <v>19800</v>
      </c>
      <c r="F44" s="66"/>
      <c r="G44" s="255">
        <v>14025</v>
      </c>
      <c r="H44" s="273"/>
      <c r="I44" s="255">
        <v>21606.411550000001</v>
      </c>
      <c r="J44" s="255"/>
      <c r="K44" s="255">
        <f>57667.72863+I44</f>
        <v>79274.140180000002</v>
      </c>
      <c r="L44" s="255"/>
      <c r="M44" s="68" t="s">
        <v>40</v>
      </c>
      <c r="N44" s="266" t="s">
        <v>123</v>
      </c>
    </row>
    <row r="45" spans="1:17" ht="62.25" customHeight="1">
      <c r="A45" s="253"/>
      <c r="B45" s="254"/>
      <c r="C45" s="254"/>
      <c r="D45" s="66" t="s">
        <v>25</v>
      </c>
      <c r="E45" s="66">
        <v>9000</v>
      </c>
      <c r="F45" s="66"/>
      <c r="G45" s="255"/>
      <c r="H45" s="273"/>
      <c r="I45" s="255"/>
      <c r="J45" s="255"/>
      <c r="K45" s="255"/>
      <c r="L45" s="255"/>
      <c r="M45" s="68"/>
      <c r="N45" s="266"/>
    </row>
    <row r="46" spans="1:17" ht="87" customHeight="1">
      <c r="A46" s="123" t="s">
        <v>55</v>
      </c>
      <c r="B46" s="67">
        <v>42223</v>
      </c>
      <c r="C46" s="204">
        <v>44926</v>
      </c>
      <c r="D46" s="66" t="s">
        <v>25</v>
      </c>
      <c r="E46" s="66">
        <v>60000</v>
      </c>
      <c r="F46" s="66"/>
      <c r="G46" s="84">
        <v>17050</v>
      </c>
      <c r="H46" s="79"/>
      <c r="I46" s="66">
        <v>14978.32085</v>
      </c>
      <c r="J46" s="66"/>
      <c r="K46" s="84">
        <f>31101.72865+I46</f>
        <v>46080.049500000001</v>
      </c>
      <c r="L46" s="66"/>
      <c r="M46" s="68"/>
      <c r="N46" s="114" t="s">
        <v>124</v>
      </c>
    </row>
    <row r="47" spans="1:17" s="10" customFormat="1" ht="57.6" customHeight="1">
      <c r="A47" s="123" t="s">
        <v>56</v>
      </c>
      <c r="B47" s="67">
        <v>42136</v>
      </c>
      <c r="C47" s="189">
        <v>43963</v>
      </c>
      <c r="D47" s="66" t="s">
        <v>31</v>
      </c>
      <c r="E47" s="66">
        <v>4300</v>
      </c>
      <c r="F47" s="66">
        <v>1843</v>
      </c>
      <c r="G47" s="84">
        <v>475</v>
      </c>
      <c r="H47" s="79"/>
      <c r="I47" s="66">
        <v>847.63293999999996</v>
      </c>
      <c r="J47" s="66"/>
      <c r="K47" s="84">
        <f>119.7894+I47</f>
        <v>967.42233999999996</v>
      </c>
      <c r="L47" s="66"/>
      <c r="M47" s="68"/>
      <c r="N47" s="114" t="s">
        <v>125</v>
      </c>
    </row>
    <row r="48" spans="1:17" s="10" customFormat="1" ht="87.75" customHeight="1">
      <c r="A48" s="161" t="s">
        <v>81</v>
      </c>
      <c r="B48" s="67">
        <v>42563</v>
      </c>
      <c r="C48" s="189">
        <v>43766</v>
      </c>
      <c r="D48" s="66" t="s">
        <v>31</v>
      </c>
      <c r="E48" s="66">
        <v>10000</v>
      </c>
      <c r="F48" s="66">
        <v>2000</v>
      </c>
      <c r="G48" s="84"/>
      <c r="H48" s="79">
        <v>500</v>
      </c>
      <c r="I48" s="66"/>
      <c r="J48" s="66"/>
      <c r="K48" s="84">
        <f>12332.76308+I48</f>
        <v>12332.763080000001</v>
      </c>
      <c r="L48" s="195">
        <f>5280.39061+J48</f>
        <v>5280.3906100000004</v>
      </c>
      <c r="M48" s="68"/>
      <c r="N48" s="114" t="s">
        <v>126</v>
      </c>
    </row>
    <row r="49" spans="1:15" s="4" customFormat="1" ht="84" customHeight="1">
      <c r="A49" s="123" t="s">
        <v>110</v>
      </c>
      <c r="B49" s="184">
        <v>43285</v>
      </c>
      <c r="C49" s="185">
        <v>44016</v>
      </c>
      <c r="D49" s="181" t="s">
        <v>31</v>
      </c>
      <c r="E49" s="181">
        <v>2830</v>
      </c>
      <c r="F49" s="181">
        <v>1870</v>
      </c>
      <c r="G49" s="181">
        <v>700</v>
      </c>
      <c r="H49" s="181">
        <v>1000</v>
      </c>
      <c r="I49" s="181">
        <v>954.74044000000004</v>
      </c>
      <c r="J49" s="205">
        <v>912.48226999999997</v>
      </c>
      <c r="K49" s="181"/>
      <c r="L49" s="181"/>
      <c r="M49" s="186" t="s">
        <v>41</v>
      </c>
      <c r="N49" s="182" t="s">
        <v>153</v>
      </c>
    </row>
    <row r="50" spans="1:15" s="4" customFormat="1" ht="97.5" customHeight="1">
      <c r="A50" s="123" t="s">
        <v>61</v>
      </c>
      <c r="B50" s="67">
        <v>42411</v>
      </c>
      <c r="C50" s="204">
        <v>43830</v>
      </c>
      <c r="D50" s="66" t="s">
        <v>31</v>
      </c>
      <c r="E50" s="66">
        <v>100000</v>
      </c>
      <c r="F50" s="66"/>
      <c r="G50" s="84">
        <v>48500</v>
      </c>
      <c r="H50" s="79"/>
      <c r="I50" s="66">
        <v>51834.90799</v>
      </c>
      <c r="J50" s="66"/>
      <c r="K50" s="84">
        <f>127652.683+I50</f>
        <v>179487.59099</v>
      </c>
      <c r="L50" s="66"/>
      <c r="M50" s="68"/>
      <c r="N50" s="114" t="s">
        <v>127</v>
      </c>
    </row>
    <row r="51" spans="1:15" s="4" customFormat="1" ht="66.599999999999994" customHeight="1">
      <c r="A51" s="123" t="s">
        <v>68</v>
      </c>
      <c r="B51" s="132">
        <v>42713</v>
      </c>
      <c r="C51" s="132">
        <v>44561</v>
      </c>
      <c r="D51" s="129" t="s">
        <v>31</v>
      </c>
      <c r="E51" s="129">
        <v>100000</v>
      </c>
      <c r="F51" s="129"/>
      <c r="G51" s="129">
        <v>1600</v>
      </c>
      <c r="H51" s="130"/>
      <c r="I51" s="129"/>
      <c r="J51" s="129"/>
      <c r="K51" s="129"/>
      <c r="L51" s="129"/>
      <c r="M51" s="135"/>
      <c r="N51" s="134" t="s">
        <v>128</v>
      </c>
    </row>
    <row r="52" spans="1:15" s="4" customFormat="1" ht="133.5" customHeight="1">
      <c r="A52" s="161" t="s">
        <v>150</v>
      </c>
      <c r="B52" s="173">
        <v>41884</v>
      </c>
      <c r="C52" s="81">
        <v>43830</v>
      </c>
      <c r="D52" s="174" t="s">
        <v>31</v>
      </c>
      <c r="E52" s="174">
        <v>13200</v>
      </c>
      <c r="F52" s="174"/>
      <c r="G52" s="174"/>
      <c r="H52" s="174"/>
      <c r="I52" s="174">
        <v>180.53817000000001</v>
      </c>
      <c r="J52" s="46"/>
      <c r="K52" s="174">
        <f>30507.38324+I52</f>
        <v>30687.921409999999</v>
      </c>
      <c r="L52" s="174"/>
      <c r="M52" s="175" t="s">
        <v>41</v>
      </c>
      <c r="N52" s="177" t="s">
        <v>151</v>
      </c>
    </row>
    <row r="53" spans="1:15" s="4" customFormat="1" ht="81.75" customHeight="1">
      <c r="A53" s="123" t="s">
        <v>111</v>
      </c>
      <c r="B53" s="132">
        <v>43035</v>
      </c>
      <c r="C53" s="132">
        <v>44925</v>
      </c>
      <c r="D53" s="129" t="s">
        <v>31</v>
      </c>
      <c r="E53" s="129">
        <v>30000</v>
      </c>
      <c r="F53" s="129">
        <v>2000</v>
      </c>
      <c r="G53" s="129"/>
      <c r="H53" s="130"/>
      <c r="I53" s="129">
        <v>477.03305999999998</v>
      </c>
      <c r="J53" s="129">
        <v>774.60558000000003</v>
      </c>
      <c r="K53" s="129">
        <f>I53</f>
        <v>477.03305999999998</v>
      </c>
      <c r="L53" s="129">
        <f>J53</f>
        <v>774.60558000000003</v>
      </c>
      <c r="M53" s="135"/>
      <c r="N53" s="182" t="s">
        <v>154</v>
      </c>
    </row>
    <row r="54" spans="1:15" s="4" customFormat="1" ht="103.5" customHeight="1" thickBot="1">
      <c r="A54" s="124" t="s">
        <v>112</v>
      </c>
      <c r="B54" s="47" t="s">
        <v>130</v>
      </c>
      <c r="C54" s="47" t="s">
        <v>147</v>
      </c>
      <c r="D54" s="48" t="s">
        <v>31</v>
      </c>
      <c r="E54" s="48">
        <v>15000</v>
      </c>
      <c r="F54" s="48"/>
      <c r="G54" s="48"/>
      <c r="H54" s="92"/>
      <c r="I54" s="48">
        <v>495.57</v>
      </c>
      <c r="J54" s="48"/>
      <c r="K54" s="205">
        <f>I54</f>
        <v>495.57</v>
      </c>
      <c r="L54" s="48"/>
      <c r="M54" s="49"/>
      <c r="N54" s="115" t="s">
        <v>149</v>
      </c>
    </row>
    <row r="55" spans="1:15" s="8" customFormat="1" ht="37.15" customHeight="1" thickBot="1">
      <c r="A55" s="263" t="s">
        <v>15</v>
      </c>
      <c r="B55" s="264"/>
      <c r="C55" s="264"/>
      <c r="D55" s="264"/>
      <c r="E55" s="264"/>
      <c r="F55" s="265"/>
      <c r="G55" s="40">
        <f t="shared" ref="G55:L55" si="1">G56+G57+G60+G62+G63+G61+G59</f>
        <v>193515</v>
      </c>
      <c r="H55" s="91">
        <f t="shared" si="1"/>
        <v>11195</v>
      </c>
      <c r="I55" s="40">
        <f t="shared" si="1"/>
        <v>235181.22301000002</v>
      </c>
      <c r="J55" s="40">
        <f t="shared" si="1"/>
        <v>16719.369559999999</v>
      </c>
      <c r="K55" s="40">
        <f t="shared" si="1"/>
        <v>902554.69759399991</v>
      </c>
      <c r="L55" s="40">
        <f t="shared" si="1"/>
        <v>114339.79165000001</v>
      </c>
      <c r="M55" s="41"/>
      <c r="N55" s="112"/>
      <c r="O55" s="12"/>
    </row>
    <row r="56" spans="1:15" ht="59.25" customHeight="1">
      <c r="A56" s="125" t="s">
        <v>23</v>
      </c>
      <c r="B56" s="50">
        <v>39626</v>
      </c>
      <c r="C56" s="50">
        <v>43829</v>
      </c>
      <c r="D56" s="32" t="s">
        <v>31</v>
      </c>
      <c r="E56" s="32">
        <v>3700</v>
      </c>
      <c r="F56" s="32">
        <v>1814</v>
      </c>
      <c r="G56" s="82">
        <v>2750</v>
      </c>
      <c r="H56" s="93"/>
      <c r="I56" s="32">
        <v>3040.31954</v>
      </c>
      <c r="J56" s="51"/>
      <c r="K56" s="82">
        <f>6580.461404+I56</f>
        <v>9620.7809440000001</v>
      </c>
      <c r="L56" s="32">
        <f>3649.68102+J56</f>
        <v>3649.68102</v>
      </c>
      <c r="M56" s="52" t="s">
        <v>40</v>
      </c>
      <c r="N56" s="116" t="s">
        <v>129</v>
      </c>
    </row>
    <row r="57" spans="1:15" ht="207" customHeight="1">
      <c r="A57" s="275" t="s">
        <v>4</v>
      </c>
      <c r="B57" s="227">
        <v>40673</v>
      </c>
      <c r="C57" s="279">
        <v>44284</v>
      </c>
      <c r="D57" s="33" t="s">
        <v>24</v>
      </c>
      <c r="E57" s="33">
        <f>51343+25047+64205+23005</f>
        <v>163600</v>
      </c>
      <c r="F57" s="232"/>
      <c r="G57" s="232">
        <v>158675</v>
      </c>
      <c r="H57" s="249"/>
      <c r="I57" s="249">
        <v>191027.12096999999</v>
      </c>
      <c r="J57" s="250"/>
      <c r="K57" s="232">
        <f>491362.10463+I57</f>
        <v>682389.22560000001</v>
      </c>
      <c r="L57" s="232"/>
      <c r="M57" s="34" t="s">
        <v>7</v>
      </c>
      <c r="N57" s="215" t="s">
        <v>185</v>
      </c>
    </row>
    <row r="58" spans="1:15" ht="330.75" customHeight="1">
      <c r="A58" s="275"/>
      <c r="B58" s="227"/>
      <c r="C58" s="279"/>
      <c r="D58" s="33" t="s">
        <v>25</v>
      </c>
      <c r="E58" s="33">
        <f>108000+43000+99000</f>
        <v>250000</v>
      </c>
      <c r="F58" s="232"/>
      <c r="G58" s="232"/>
      <c r="H58" s="249"/>
      <c r="I58" s="249"/>
      <c r="J58" s="250"/>
      <c r="K58" s="232"/>
      <c r="L58" s="232"/>
      <c r="M58" s="34"/>
      <c r="N58" s="216"/>
    </row>
    <row r="59" spans="1:15" s="14" customFormat="1" ht="85.5" customHeight="1">
      <c r="A59" s="70" t="s">
        <v>102</v>
      </c>
      <c r="B59" s="99" t="s">
        <v>131</v>
      </c>
      <c r="C59" s="99" t="s">
        <v>132</v>
      </c>
      <c r="D59" s="103" t="s">
        <v>31</v>
      </c>
      <c r="E59" s="98">
        <v>100</v>
      </c>
      <c r="F59" s="76"/>
      <c r="G59" s="83"/>
      <c r="H59" s="71"/>
      <c r="I59" s="76"/>
      <c r="J59" s="86"/>
      <c r="K59" s="83">
        <f>35.07802+I59</f>
        <v>35.078020000000002</v>
      </c>
      <c r="L59" s="76"/>
      <c r="M59" s="87"/>
      <c r="N59" s="105" t="s">
        <v>133</v>
      </c>
    </row>
    <row r="60" spans="1:15" ht="201" customHeight="1">
      <c r="A60" s="70" t="s">
        <v>69</v>
      </c>
      <c r="B60" s="20">
        <v>40773</v>
      </c>
      <c r="C60" s="20">
        <v>43830</v>
      </c>
      <c r="D60" s="53" t="s">
        <v>31</v>
      </c>
      <c r="E60" s="53">
        <f>2988.339+4000+20000</f>
        <v>26988.339</v>
      </c>
      <c r="F60" s="53">
        <f>4500+6728.536+9000+4000+7000</f>
        <v>31228.536</v>
      </c>
      <c r="G60" s="83">
        <v>13400</v>
      </c>
      <c r="H60" s="71">
        <v>5350</v>
      </c>
      <c r="I60" s="53">
        <v>19112.228070000001</v>
      </c>
      <c r="J60" s="53">
        <v>7982.2569199999998</v>
      </c>
      <c r="K60" s="83">
        <f>46200.7648+I60</f>
        <v>65312.992870000002</v>
      </c>
      <c r="L60" s="53">
        <f>57507.50654+J60</f>
        <v>65489.763460000002</v>
      </c>
      <c r="M60" s="33" t="s">
        <v>8</v>
      </c>
      <c r="N60" s="69" t="s">
        <v>82</v>
      </c>
    </row>
    <row r="61" spans="1:15" ht="72" customHeight="1">
      <c r="A61" s="70" t="s">
        <v>77</v>
      </c>
      <c r="B61" s="20">
        <v>42360</v>
      </c>
      <c r="C61" s="20">
        <v>44012</v>
      </c>
      <c r="D61" s="33" t="s">
        <v>31</v>
      </c>
      <c r="E61" s="33">
        <v>30000</v>
      </c>
      <c r="F61" s="33">
        <v>2000</v>
      </c>
      <c r="G61" s="83">
        <v>14690</v>
      </c>
      <c r="H61" s="71">
        <v>1845</v>
      </c>
      <c r="I61" s="33">
        <v>16149.036609999999</v>
      </c>
      <c r="J61" s="33">
        <v>1490.17381</v>
      </c>
      <c r="K61" s="83">
        <f>34681.49112+I61</f>
        <v>50830.527730000002</v>
      </c>
      <c r="L61" s="33">
        <f>3499.04143+J61</f>
        <v>4989.2152400000004</v>
      </c>
      <c r="M61" s="33"/>
      <c r="N61" s="69" t="s">
        <v>134</v>
      </c>
    </row>
    <row r="62" spans="1:15" ht="68.25" customHeight="1">
      <c r="A62" s="70" t="s">
        <v>83</v>
      </c>
      <c r="B62" s="20">
        <v>41506</v>
      </c>
      <c r="C62" s="36">
        <v>43332</v>
      </c>
      <c r="D62" s="33" t="s">
        <v>31</v>
      </c>
      <c r="E62" s="33">
        <v>40000</v>
      </c>
      <c r="F62" s="33">
        <v>8000</v>
      </c>
      <c r="G62" s="83">
        <v>4000</v>
      </c>
      <c r="H62" s="71">
        <v>700</v>
      </c>
      <c r="I62" s="33">
        <v>5852.51782</v>
      </c>
      <c r="J62" s="53">
        <v>1501.2893300000001</v>
      </c>
      <c r="K62" s="83">
        <f>88513.57461+I62</f>
        <v>94366.09242999999</v>
      </c>
      <c r="L62" s="33">
        <f>17820.5113+J62</f>
        <v>19321.800629999998</v>
      </c>
      <c r="M62" s="34" t="s">
        <v>40</v>
      </c>
      <c r="N62" s="69" t="s">
        <v>135</v>
      </c>
    </row>
    <row r="63" spans="1:15" ht="87" customHeight="1" thickBot="1">
      <c r="A63" s="126" t="s">
        <v>36</v>
      </c>
      <c r="B63" s="37">
        <v>41480</v>
      </c>
      <c r="C63" s="37" t="s">
        <v>152</v>
      </c>
      <c r="D63" s="38" t="s">
        <v>25</v>
      </c>
      <c r="E63" s="38"/>
      <c r="F63" s="38">
        <v>10052.155000000001</v>
      </c>
      <c r="G63" s="38"/>
      <c r="H63" s="80">
        <v>3300</v>
      </c>
      <c r="I63" s="38"/>
      <c r="J63" s="54">
        <v>5745.6495000000004</v>
      </c>
      <c r="K63" s="38"/>
      <c r="L63" s="38">
        <f>15143.6818+J63</f>
        <v>20889.331300000002</v>
      </c>
      <c r="M63" s="39" t="s">
        <v>40</v>
      </c>
      <c r="N63" s="74" t="s">
        <v>92</v>
      </c>
    </row>
    <row r="64" spans="1:15" s="8" customFormat="1" ht="30" customHeight="1" thickBot="1">
      <c r="A64" s="263" t="s">
        <v>11</v>
      </c>
      <c r="B64" s="264"/>
      <c r="C64" s="264"/>
      <c r="D64" s="264"/>
      <c r="E64" s="264"/>
      <c r="F64" s="265"/>
      <c r="G64" s="40">
        <f>G65+G66+G67+G68+G69+G70+G71+G72+G73+G74+G75+G76</f>
        <v>11100</v>
      </c>
      <c r="H64" s="91">
        <f t="shared" ref="H64:L64" si="2">H65+H66+H70+H67+H69+H68+H71+H72+H73+H74+H75+H76</f>
        <v>0</v>
      </c>
      <c r="I64" s="40">
        <f t="shared" si="2"/>
        <v>33163.594969999998</v>
      </c>
      <c r="J64" s="40">
        <f t="shared" si="2"/>
        <v>0</v>
      </c>
      <c r="K64" s="40">
        <f t="shared" si="2"/>
        <v>291367.32053500001</v>
      </c>
      <c r="L64" s="40">
        <f t="shared" si="2"/>
        <v>20950.680079999998</v>
      </c>
      <c r="M64" s="41"/>
      <c r="N64" s="112"/>
    </row>
    <row r="65" spans="1:14" ht="111" customHeight="1">
      <c r="A65" s="125" t="s">
        <v>107</v>
      </c>
      <c r="B65" s="108">
        <v>43105</v>
      </c>
      <c r="C65" s="108" t="s">
        <v>106</v>
      </c>
      <c r="D65" s="106" t="s">
        <v>31</v>
      </c>
      <c r="E65" s="106">
        <v>28000</v>
      </c>
      <c r="F65" s="106">
        <v>7000</v>
      </c>
      <c r="G65" s="82">
        <v>500</v>
      </c>
      <c r="H65" s="93"/>
      <c r="I65" s="180">
        <v>17301.495210000001</v>
      </c>
      <c r="J65" s="85"/>
      <c r="K65" s="82">
        <f>2588.27771+I65</f>
        <v>19889.772919999999</v>
      </c>
      <c r="L65" s="82"/>
      <c r="M65" s="52" t="s">
        <v>9</v>
      </c>
      <c r="N65" s="116" t="s">
        <v>136</v>
      </c>
    </row>
    <row r="66" spans="1:14" ht="80.25" customHeight="1">
      <c r="A66" s="127" t="s">
        <v>84</v>
      </c>
      <c r="B66" s="219">
        <v>41572</v>
      </c>
      <c r="C66" s="219">
        <v>44012</v>
      </c>
      <c r="D66" s="213" t="s">
        <v>31</v>
      </c>
      <c r="E66" s="213">
        <f>25200+35000</f>
        <v>60200</v>
      </c>
      <c r="F66" s="33">
        <v>8000</v>
      </c>
      <c r="G66" s="83">
        <v>1400</v>
      </c>
      <c r="H66" s="71"/>
      <c r="I66" s="33">
        <v>743.27260000000001</v>
      </c>
      <c r="J66" s="33"/>
      <c r="K66" s="83">
        <f>92412.661955+I66</f>
        <v>93155.934555</v>
      </c>
      <c r="L66" s="33">
        <v>20950.680079999998</v>
      </c>
      <c r="M66" s="34" t="s">
        <v>33</v>
      </c>
      <c r="N66" s="269" t="s">
        <v>137</v>
      </c>
    </row>
    <row r="67" spans="1:14" s="10" customFormat="1" ht="45" customHeight="1">
      <c r="A67" s="127" t="s">
        <v>85</v>
      </c>
      <c r="B67" s="276"/>
      <c r="C67" s="276"/>
      <c r="D67" s="221"/>
      <c r="E67" s="221"/>
      <c r="F67" s="33"/>
      <c r="G67" s="83">
        <v>4700</v>
      </c>
      <c r="H67" s="71"/>
      <c r="I67" s="33">
        <v>8041.6296599999996</v>
      </c>
      <c r="J67" s="33"/>
      <c r="K67" s="83">
        <f>45219.89027+I67</f>
        <v>53261.519930000002</v>
      </c>
      <c r="L67" s="33"/>
      <c r="M67" s="34"/>
      <c r="N67" s="269"/>
    </row>
    <row r="68" spans="1:14" ht="60" customHeight="1">
      <c r="A68" s="70" t="s">
        <v>73</v>
      </c>
      <c r="B68" s="220"/>
      <c r="C68" s="220"/>
      <c r="D68" s="214"/>
      <c r="E68" s="214"/>
      <c r="F68" s="33"/>
      <c r="G68" s="83"/>
      <c r="H68" s="71"/>
      <c r="I68" s="33"/>
      <c r="J68" s="53"/>
      <c r="K68" s="83">
        <v>5120.6747100000002</v>
      </c>
      <c r="L68" s="33"/>
      <c r="M68" s="34"/>
      <c r="N68" s="107" t="s">
        <v>138</v>
      </c>
    </row>
    <row r="69" spans="1:14" ht="104.25" customHeight="1">
      <c r="A69" s="70" t="s">
        <v>72</v>
      </c>
      <c r="B69" s="20">
        <v>42838</v>
      </c>
      <c r="C69" s="36">
        <v>44742</v>
      </c>
      <c r="D69" s="75" t="s">
        <v>31</v>
      </c>
      <c r="E69" s="73">
        <v>125000</v>
      </c>
      <c r="F69" s="33"/>
      <c r="G69" s="148"/>
      <c r="H69" s="149"/>
      <c r="I69" s="33"/>
      <c r="J69" s="53"/>
      <c r="K69" s="83"/>
      <c r="L69" s="33"/>
      <c r="M69" s="34"/>
      <c r="N69" s="107" t="s">
        <v>139</v>
      </c>
    </row>
    <row r="70" spans="1:14" ht="72.75" customHeight="1">
      <c r="A70" s="70" t="s">
        <v>62</v>
      </c>
      <c r="B70" s="227">
        <v>41885</v>
      </c>
      <c r="C70" s="227">
        <v>44378</v>
      </c>
      <c r="D70" s="33" t="s">
        <v>25</v>
      </c>
      <c r="E70" s="232">
        <v>60000</v>
      </c>
      <c r="F70" s="33"/>
      <c r="G70" s="83">
        <v>3000</v>
      </c>
      <c r="H70" s="71"/>
      <c r="I70" s="33">
        <v>5573.4235799999997</v>
      </c>
      <c r="J70" s="53"/>
      <c r="K70" s="83">
        <f>112430.30228+I70</f>
        <v>118003.72586000001</v>
      </c>
      <c r="L70" s="33"/>
      <c r="M70" s="34"/>
      <c r="N70" s="69" t="s">
        <v>140</v>
      </c>
    </row>
    <row r="71" spans="1:14" ht="57.75" customHeight="1">
      <c r="A71" s="70" t="s">
        <v>74</v>
      </c>
      <c r="B71" s="227"/>
      <c r="C71" s="227"/>
      <c r="D71" s="33" t="s">
        <v>25</v>
      </c>
      <c r="E71" s="282"/>
      <c r="F71" s="33"/>
      <c r="G71" s="83"/>
      <c r="H71" s="71"/>
      <c r="I71" s="33">
        <v>1503.7739200000001</v>
      </c>
      <c r="J71" s="53"/>
      <c r="K71" s="83">
        <f>431.91864+I71</f>
        <v>1935.69256</v>
      </c>
      <c r="L71" s="33"/>
      <c r="M71" s="34"/>
      <c r="N71" s="69" t="s">
        <v>89</v>
      </c>
    </row>
    <row r="72" spans="1:14" ht="148.5" customHeight="1">
      <c r="A72" s="70" t="s">
        <v>166</v>
      </c>
      <c r="B72" s="20"/>
      <c r="C72" s="20"/>
      <c r="D72" s="33" t="s">
        <v>31</v>
      </c>
      <c r="E72" s="33"/>
      <c r="F72" s="33"/>
      <c r="G72" s="83">
        <v>1500</v>
      </c>
      <c r="H72" s="71"/>
      <c r="I72" s="33"/>
      <c r="J72" s="53"/>
      <c r="K72" s="83"/>
      <c r="L72" s="33"/>
      <c r="M72" s="34"/>
      <c r="N72" s="107" t="s">
        <v>88</v>
      </c>
    </row>
    <row r="73" spans="1:14" ht="83.25" customHeight="1">
      <c r="A73" s="70" t="s">
        <v>75</v>
      </c>
      <c r="B73" s="20"/>
      <c r="C73" s="20"/>
      <c r="D73" s="33"/>
      <c r="E73" s="33"/>
      <c r="F73" s="33"/>
      <c r="G73" s="83"/>
      <c r="H73" s="71"/>
      <c r="I73" s="33"/>
      <c r="J73" s="53"/>
      <c r="K73" s="83"/>
      <c r="L73" s="33"/>
      <c r="M73" s="34"/>
      <c r="N73" s="69" t="s">
        <v>79</v>
      </c>
    </row>
    <row r="74" spans="1:14" ht="117" customHeight="1">
      <c r="A74" s="171" t="s">
        <v>76</v>
      </c>
      <c r="B74" s="164"/>
      <c r="C74" s="36"/>
      <c r="D74" s="75"/>
      <c r="E74" s="165"/>
      <c r="F74" s="165"/>
      <c r="G74" s="165"/>
      <c r="H74" s="166"/>
      <c r="I74" s="165"/>
      <c r="J74" s="167"/>
      <c r="K74" s="165"/>
      <c r="L74" s="165"/>
      <c r="M74" s="168"/>
      <c r="N74" s="170" t="s">
        <v>80</v>
      </c>
    </row>
    <row r="75" spans="1:14" s="14" customFormat="1" ht="45" customHeight="1">
      <c r="A75" s="146" t="s">
        <v>113</v>
      </c>
      <c r="B75" s="140"/>
      <c r="C75" s="36"/>
      <c r="D75" s="75" t="s">
        <v>31</v>
      </c>
      <c r="E75" s="141"/>
      <c r="F75" s="141"/>
      <c r="G75" s="141"/>
      <c r="H75" s="142"/>
      <c r="I75" s="141"/>
      <c r="J75" s="143"/>
      <c r="K75" s="141"/>
      <c r="L75" s="141"/>
      <c r="M75" s="144"/>
      <c r="N75" s="145" t="s">
        <v>148</v>
      </c>
    </row>
    <row r="76" spans="1:14" s="14" customFormat="1" ht="53.25" customHeight="1" thickBot="1">
      <c r="A76" s="150" t="s">
        <v>114</v>
      </c>
      <c r="B76" s="151"/>
      <c r="C76" s="151"/>
      <c r="D76" s="152" t="s">
        <v>31</v>
      </c>
      <c r="E76" s="152"/>
      <c r="F76" s="152"/>
      <c r="G76" s="152"/>
      <c r="H76" s="153"/>
      <c r="I76" s="152"/>
      <c r="J76" s="154"/>
      <c r="K76" s="152"/>
      <c r="L76" s="152"/>
      <c r="M76" s="155"/>
      <c r="N76" s="156" t="s">
        <v>148</v>
      </c>
    </row>
    <row r="77" spans="1:14" s="14" customFormat="1" ht="36.6" customHeight="1" thickBot="1">
      <c r="A77" s="263" t="s">
        <v>17</v>
      </c>
      <c r="B77" s="264"/>
      <c r="C77" s="264"/>
      <c r="D77" s="264"/>
      <c r="E77" s="264"/>
      <c r="F77" s="265"/>
      <c r="G77" s="40">
        <f t="shared" ref="G77:L77" si="3">G78+G81+G83+G82</f>
        <v>19830</v>
      </c>
      <c r="H77" s="91">
        <f t="shared" si="3"/>
        <v>5510</v>
      </c>
      <c r="I77" s="40">
        <f t="shared" si="3"/>
        <v>17886.137519999997</v>
      </c>
      <c r="J77" s="40">
        <f t="shared" si="3"/>
        <v>4361.3429500000002</v>
      </c>
      <c r="K77" s="40">
        <f t="shared" si="3"/>
        <v>83731.676686000006</v>
      </c>
      <c r="L77" s="40">
        <f t="shared" si="3"/>
        <v>10964.826489999999</v>
      </c>
      <c r="M77" s="41"/>
      <c r="N77" s="112"/>
    </row>
    <row r="78" spans="1:14" s="14" customFormat="1" ht="109.15" customHeight="1">
      <c r="A78" s="274" t="s">
        <v>52</v>
      </c>
      <c r="B78" s="55">
        <v>42052</v>
      </c>
      <c r="C78" s="190">
        <v>44121</v>
      </c>
      <c r="D78" s="32" t="s">
        <v>24</v>
      </c>
      <c r="E78" s="32">
        <v>8610</v>
      </c>
      <c r="F78" s="32"/>
      <c r="G78" s="233">
        <v>6730</v>
      </c>
      <c r="H78" s="252">
        <v>5270</v>
      </c>
      <c r="I78" s="233">
        <v>8911.1662799999995</v>
      </c>
      <c r="J78" s="233">
        <v>4361.3429500000002</v>
      </c>
      <c r="K78" s="233">
        <f>16279.05301+I78</f>
        <v>25190.219290000001</v>
      </c>
      <c r="L78" s="233">
        <f>6102.55654+J78</f>
        <v>10463.89949</v>
      </c>
      <c r="M78" s="52"/>
      <c r="N78" s="267" t="s">
        <v>186</v>
      </c>
    </row>
    <row r="79" spans="1:14" s="14" customFormat="1" ht="111" customHeight="1">
      <c r="A79" s="275"/>
      <c r="B79" s="36">
        <v>41978</v>
      </c>
      <c r="C79" s="56">
        <v>42735</v>
      </c>
      <c r="D79" s="33" t="s">
        <v>25</v>
      </c>
      <c r="E79" s="33"/>
      <c r="F79" s="33">
        <v>500</v>
      </c>
      <c r="G79" s="232"/>
      <c r="H79" s="249"/>
      <c r="I79" s="232"/>
      <c r="J79" s="232"/>
      <c r="K79" s="232"/>
      <c r="L79" s="232"/>
      <c r="M79" s="34"/>
      <c r="N79" s="268"/>
    </row>
    <row r="80" spans="1:14" s="8" customFormat="1" ht="53.25" customHeight="1">
      <c r="A80" s="275"/>
      <c r="B80" s="36">
        <v>42052</v>
      </c>
      <c r="C80" s="56">
        <v>44121</v>
      </c>
      <c r="D80" s="33" t="s">
        <v>25</v>
      </c>
      <c r="E80" s="33"/>
      <c r="F80" s="33">
        <v>5300</v>
      </c>
      <c r="G80" s="232"/>
      <c r="H80" s="249"/>
      <c r="I80" s="232"/>
      <c r="J80" s="232"/>
      <c r="K80" s="232"/>
      <c r="L80" s="232"/>
      <c r="M80" s="34"/>
      <c r="N80" s="268"/>
    </row>
    <row r="81" spans="1:14" ht="77.25" customHeight="1">
      <c r="A81" s="275" t="s">
        <v>54</v>
      </c>
      <c r="B81" s="227">
        <v>41964</v>
      </c>
      <c r="C81" s="279">
        <v>44408</v>
      </c>
      <c r="D81" s="250" t="s">
        <v>24</v>
      </c>
      <c r="E81" s="232">
        <v>32400</v>
      </c>
      <c r="F81" s="232"/>
      <c r="G81" s="141">
        <v>11000</v>
      </c>
      <c r="H81" s="141"/>
      <c r="I81" s="33">
        <v>7571.8114699999996</v>
      </c>
      <c r="J81" s="53"/>
      <c r="K81" s="83">
        <f>45181.823066+I81</f>
        <v>52753.634535999998</v>
      </c>
      <c r="L81" s="33"/>
      <c r="M81" s="34"/>
      <c r="N81" s="69" t="s">
        <v>141</v>
      </c>
    </row>
    <row r="82" spans="1:14" ht="72" customHeight="1">
      <c r="A82" s="275"/>
      <c r="B82" s="227"/>
      <c r="C82" s="279"/>
      <c r="D82" s="250"/>
      <c r="E82" s="232"/>
      <c r="F82" s="232"/>
      <c r="G82" s="141">
        <v>2100</v>
      </c>
      <c r="H82" s="141"/>
      <c r="I82" s="33">
        <v>1403.15977</v>
      </c>
      <c r="J82" s="53"/>
      <c r="K82" s="83">
        <f>4384.66309+I82</f>
        <v>5787.8228600000002</v>
      </c>
      <c r="L82" s="33"/>
      <c r="M82" s="34"/>
      <c r="N82" s="69" t="s">
        <v>142</v>
      </c>
    </row>
    <row r="83" spans="1:14" ht="98.25" customHeight="1" thickBot="1">
      <c r="A83" s="126" t="s">
        <v>53</v>
      </c>
      <c r="B83" s="37">
        <v>41946</v>
      </c>
      <c r="C83" s="57">
        <v>43190</v>
      </c>
      <c r="D83" s="54" t="s">
        <v>31</v>
      </c>
      <c r="E83" s="38"/>
      <c r="F83" s="38">
        <v>861</v>
      </c>
      <c r="G83" s="38"/>
      <c r="H83" s="80">
        <v>240</v>
      </c>
      <c r="I83" s="80"/>
      <c r="J83" s="38"/>
      <c r="K83" s="38"/>
      <c r="L83" s="38">
        <f>500.927+J83</f>
        <v>500.92700000000002</v>
      </c>
      <c r="M83" s="39"/>
      <c r="N83" s="74" t="s">
        <v>143</v>
      </c>
    </row>
    <row r="84" spans="1:14" ht="33" customHeight="1" thickBot="1">
      <c r="A84" s="263" t="s">
        <v>19</v>
      </c>
      <c r="B84" s="264"/>
      <c r="C84" s="264"/>
      <c r="D84" s="264"/>
      <c r="E84" s="264"/>
      <c r="F84" s="265"/>
      <c r="G84" s="40">
        <f t="shared" ref="G84:L84" si="4">G85+G86</f>
        <v>0</v>
      </c>
      <c r="H84" s="91">
        <f t="shared" si="4"/>
        <v>4645</v>
      </c>
      <c r="I84" s="40">
        <f t="shared" si="4"/>
        <v>0</v>
      </c>
      <c r="J84" s="40">
        <f t="shared" si="4"/>
        <v>4209.6003899999996</v>
      </c>
      <c r="K84" s="40">
        <f t="shared" si="4"/>
        <v>0</v>
      </c>
      <c r="L84" s="40">
        <f t="shared" si="4"/>
        <v>26272.434399999998</v>
      </c>
      <c r="M84" s="58"/>
      <c r="N84" s="91"/>
    </row>
    <row r="85" spans="1:14" ht="174.75" customHeight="1">
      <c r="A85" s="125" t="s">
        <v>16</v>
      </c>
      <c r="B85" s="55">
        <v>40119</v>
      </c>
      <c r="C85" s="50">
        <v>43465</v>
      </c>
      <c r="D85" s="32" t="s">
        <v>31</v>
      </c>
      <c r="E85" s="32"/>
      <c r="F85" s="32">
        <v>2267</v>
      </c>
      <c r="G85" s="82"/>
      <c r="H85" s="93">
        <v>1345</v>
      </c>
      <c r="I85" s="32"/>
      <c r="J85" s="51">
        <v>1375.8112000000001</v>
      </c>
      <c r="K85" s="82"/>
      <c r="L85" s="32">
        <f>6077.20889+J85</f>
        <v>7453.02009</v>
      </c>
      <c r="M85" s="52" t="s">
        <v>44</v>
      </c>
      <c r="N85" s="116" t="s">
        <v>144</v>
      </c>
    </row>
    <row r="86" spans="1:14" ht="210" customHeight="1" thickBot="1">
      <c r="A86" s="126" t="s">
        <v>5</v>
      </c>
      <c r="B86" s="57">
        <v>40589</v>
      </c>
      <c r="C86" s="57" t="s">
        <v>93</v>
      </c>
      <c r="D86" s="54" t="s">
        <v>31</v>
      </c>
      <c r="E86" s="38"/>
      <c r="F86" s="38">
        <v>8250</v>
      </c>
      <c r="G86" s="38"/>
      <c r="H86" s="80">
        <v>3300</v>
      </c>
      <c r="I86" s="38"/>
      <c r="J86" s="38">
        <v>2833.78919</v>
      </c>
      <c r="K86" s="38"/>
      <c r="L86" s="38">
        <f>15985.62512+J86</f>
        <v>18819.41431</v>
      </c>
      <c r="M86" s="39" t="s">
        <v>44</v>
      </c>
      <c r="N86" s="117" t="s">
        <v>145</v>
      </c>
    </row>
    <row r="87" spans="1:14" s="8" customFormat="1" ht="35.450000000000003" customHeight="1" thickBot="1">
      <c r="A87" s="263" t="s">
        <v>18</v>
      </c>
      <c r="B87" s="264"/>
      <c r="C87" s="264"/>
      <c r="D87" s="264"/>
      <c r="E87" s="264"/>
      <c r="F87" s="265"/>
      <c r="G87" s="40">
        <f t="shared" ref="G87:L87" si="5">G88+G93+G90+G91+G89+G92</f>
        <v>26800</v>
      </c>
      <c r="H87" s="91">
        <f t="shared" si="5"/>
        <v>64900</v>
      </c>
      <c r="I87" s="40">
        <f t="shared" si="5"/>
        <v>12244.347959999999</v>
      </c>
      <c r="J87" s="40">
        <f t="shared" si="5"/>
        <v>68037.666469999996</v>
      </c>
      <c r="K87" s="40">
        <f t="shared" si="5"/>
        <v>251666.68312</v>
      </c>
      <c r="L87" s="40">
        <f t="shared" si="5"/>
        <v>349836.5784614</v>
      </c>
      <c r="M87" s="58"/>
      <c r="N87" s="91"/>
    </row>
    <row r="88" spans="1:14" ht="394.5" customHeight="1">
      <c r="A88" s="125" t="s">
        <v>49</v>
      </c>
      <c r="B88" s="55">
        <v>41103</v>
      </c>
      <c r="C88" s="191">
        <v>43767</v>
      </c>
      <c r="D88" s="51" t="s">
        <v>25</v>
      </c>
      <c r="E88" s="32"/>
      <c r="F88" s="32">
        <f>140000+2700</f>
        <v>142700</v>
      </c>
      <c r="G88" s="82"/>
      <c r="H88" s="93">
        <v>63900</v>
      </c>
      <c r="I88" s="32"/>
      <c r="J88" s="51">
        <v>68037.666469999996</v>
      </c>
      <c r="K88" s="82"/>
      <c r="L88" s="32">
        <f>281798.9119914+J88</f>
        <v>349836.5784614</v>
      </c>
      <c r="M88" s="52" t="s">
        <v>14</v>
      </c>
      <c r="N88" s="169" t="s">
        <v>160</v>
      </c>
    </row>
    <row r="89" spans="1:14" ht="70.5" customHeight="1">
      <c r="A89" s="201" t="s">
        <v>71</v>
      </c>
      <c r="B89" s="20">
        <v>42661</v>
      </c>
      <c r="C89" s="20">
        <v>44377</v>
      </c>
      <c r="D89" s="33" t="s">
        <v>31</v>
      </c>
      <c r="E89" s="33">
        <v>14000</v>
      </c>
      <c r="F89" s="33"/>
      <c r="G89" s="83">
        <v>500</v>
      </c>
      <c r="H89" s="71">
        <v>1000</v>
      </c>
      <c r="I89" s="33">
        <v>329.45591999999999</v>
      </c>
      <c r="J89" s="33"/>
      <c r="K89" s="83">
        <f>I89</f>
        <v>329.45591999999999</v>
      </c>
      <c r="L89" s="35">
        <v>0</v>
      </c>
      <c r="M89" s="34"/>
      <c r="N89" s="163" t="s">
        <v>155</v>
      </c>
    </row>
    <row r="90" spans="1:14" s="8" customFormat="1" ht="60" customHeight="1">
      <c r="A90" s="127" t="s">
        <v>60</v>
      </c>
      <c r="B90" s="20">
        <v>42346</v>
      </c>
      <c r="C90" s="20">
        <v>43228</v>
      </c>
      <c r="D90" s="33" t="s">
        <v>31</v>
      </c>
      <c r="E90" s="33">
        <v>82821</v>
      </c>
      <c r="F90" s="33"/>
      <c r="G90" s="83">
        <v>15000</v>
      </c>
      <c r="H90" s="71"/>
      <c r="I90" s="33"/>
      <c r="J90" s="33"/>
      <c r="K90" s="83">
        <f>226048.34892+I90</f>
        <v>226048.34891999999</v>
      </c>
      <c r="L90" s="33"/>
      <c r="M90" s="34"/>
      <c r="N90" s="69" t="s">
        <v>90</v>
      </c>
    </row>
    <row r="91" spans="1:14" ht="60" customHeight="1">
      <c r="A91" s="127" t="s">
        <v>70</v>
      </c>
      <c r="B91" s="20">
        <v>42929</v>
      </c>
      <c r="C91" s="20">
        <v>43830</v>
      </c>
      <c r="D91" s="33" t="s">
        <v>31</v>
      </c>
      <c r="E91" s="33">
        <v>5500</v>
      </c>
      <c r="F91" s="33">
        <v>1500</v>
      </c>
      <c r="G91" s="83">
        <v>1300</v>
      </c>
      <c r="H91" s="71"/>
      <c r="I91" s="33">
        <v>2191.3694799999998</v>
      </c>
      <c r="J91" s="33"/>
      <c r="K91" s="148">
        <f>8749.28036+I91</f>
        <v>10940.64984</v>
      </c>
      <c r="L91" s="35">
        <v>0</v>
      </c>
      <c r="M91" s="34"/>
      <c r="N91" s="162" t="s">
        <v>146</v>
      </c>
    </row>
    <row r="92" spans="1:14" ht="54" customHeight="1">
      <c r="A92" s="157" t="s">
        <v>115</v>
      </c>
      <c r="B92" s="147"/>
      <c r="C92" s="147"/>
      <c r="D92" s="138"/>
      <c r="E92" s="138"/>
      <c r="F92" s="138"/>
      <c r="G92" s="138"/>
      <c r="H92" s="139"/>
      <c r="I92" s="138"/>
      <c r="J92" s="138"/>
      <c r="K92" s="158"/>
      <c r="L92" s="158"/>
      <c r="M92" s="159"/>
      <c r="N92" s="160" t="s">
        <v>148</v>
      </c>
    </row>
    <row r="93" spans="1:14" ht="106.5" customHeight="1" thickBot="1">
      <c r="A93" s="126" t="s">
        <v>59</v>
      </c>
      <c r="B93" s="57">
        <v>42457</v>
      </c>
      <c r="C93" s="57">
        <v>44316</v>
      </c>
      <c r="D93" s="54" t="s">
        <v>25</v>
      </c>
      <c r="E93" s="80">
        <v>23500</v>
      </c>
      <c r="F93" s="38"/>
      <c r="G93" s="38">
        <v>10000</v>
      </c>
      <c r="H93" s="80"/>
      <c r="I93" s="206">
        <v>9723.5225599999994</v>
      </c>
      <c r="J93" s="38"/>
      <c r="K93" s="38">
        <f>4624.70588+I93</f>
        <v>14348.228439999999</v>
      </c>
      <c r="L93" s="38"/>
      <c r="M93" s="39"/>
      <c r="N93" s="74" t="s">
        <v>158</v>
      </c>
    </row>
    <row r="94" spans="1:14" ht="38.25" customHeight="1" thickBot="1">
      <c r="A94" s="128"/>
      <c r="B94" s="59"/>
      <c r="C94" s="59"/>
      <c r="D94" s="60"/>
      <c r="E94" s="61"/>
      <c r="F94" s="40" t="s">
        <v>27</v>
      </c>
      <c r="G94" s="40">
        <f t="shared" ref="G94:L94" si="6">G7+G37+G55+G64+G77+G84+G87</f>
        <v>931125</v>
      </c>
      <c r="H94" s="91">
        <f t="shared" si="6"/>
        <v>100400</v>
      </c>
      <c r="I94" s="40">
        <f t="shared" si="6"/>
        <v>1056996.12457</v>
      </c>
      <c r="J94" s="40">
        <f t="shared" si="6"/>
        <v>107349.8642</v>
      </c>
      <c r="K94" s="40">
        <f t="shared" si="6"/>
        <v>5060470.0219550012</v>
      </c>
      <c r="L94" s="40">
        <f t="shared" si="6"/>
        <v>581358.58891139994</v>
      </c>
      <c r="M94" s="61"/>
      <c r="N94" s="91"/>
    </row>
    <row r="95" spans="1:14" s="14" customFormat="1" ht="14.45" customHeight="1">
      <c r="A95" s="19"/>
      <c r="B95" s="18"/>
      <c r="C95" s="18"/>
      <c r="D95" s="19"/>
      <c r="E95" s="19"/>
      <c r="F95" s="19"/>
      <c r="G95" s="94"/>
      <c r="H95" s="19"/>
      <c r="I95" s="19"/>
      <c r="J95" s="19"/>
      <c r="K95" s="94"/>
      <c r="L95" s="19"/>
      <c r="M95" s="19"/>
      <c r="N95" s="13"/>
    </row>
    <row r="96" spans="1:14" s="10" customFormat="1" ht="25.15" customHeight="1">
      <c r="A96" s="281" t="s">
        <v>86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</row>
    <row r="97" spans="1:14" s="7" customFormat="1" ht="29.25" customHeight="1">
      <c r="A97" s="14" t="s">
        <v>87</v>
      </c>
      <c r="B97" s="16"/>
      <c r="C97" s="16"/>
      <c r="D97" s="14"/>
      <c r="E97" s="14"/>
      <c r="F97" s="14"/>
      <c r="G97" s="5"/>
      <c r="H97" s="14"/>
      <c r="I97" s="172"/>
      <c r="J97" s="14"/>
      <c r="K97" s="95"/>
      <c r="L97" s="14"/>
      <c r="M97" s="14"/>
      <c r="N97" s="17"/>
    </row>
    <row r="98" spans="1:14" ht="8.25" customHeight="1"/>
    <row r="99" spans="1:14" ht="24" customHeight="1">
      <c r="G99" s="95"/>
      <c r="J99" s="2"/>
    </row>
    <row r="100" spans="1:14" ht="27" customHeight="1">
      <c r="G100" s="23"/>
      <c r="H100" s="9"/>
      <c r="I100" s="9"/>
      <c r="J100" s="9"/>
      <c r="K100" s="136"/>
      <c r="L100" s="137"/>
    </row>
    <row r="101" spans="1:14" ht="19.5">
      <c r="G101" s="95"/>
      <c r="H101" s="2"/>
      <c r="I101" s="9"/>
      <c r="J101" s="2"/>
      <c r="K101" s="95"/>
      <c r="L101" s="2"/>
    </row>
    <row r="102" spans="1:14">
      <c r="I102" s="15"/>
    </row>
    <row r="103" spans="1:14" ht="24.75" customHeight="1"/>
  </sheetData>
  <mergeCells count="155">
    <mergeCell ref="A96:N96"/>
    <mergeCell ref="A57:A58"/>
    <mergeCell ref="I44:I45"/>
    <mergeCell ref="H44:H45"/>
    <mergeCell ref="A84:F84"/>
    <mergeCell ref="A87:F87"/>
    <mergeCell ref="A81:A82"/>
    <mergeCell ref="B81:B82"/>
    <mergeCell ref="C81:C82"/>
    <mergeCell ref="D81:D82"/>
    <mergeCell ref="E81:E82"/>
    <mergeCell ref="F81:F82"/>
    <mergeCell ref="C70:C71"/>
    <mergeCell ref="E70:E71"/>
    <mergeCell ref="N57:N58"/>
    <mergeCell ref="I41:I42"/>
    <mergeCell ref="L41:L42"/>
    <mergeCell ref="A78:A80"/>
    <mergeCell ref="B66:B68"/>
    <mergeCell ref="J41:J42"/>
    <mergeCell ref="K41:K42"/>
    <mergeCell ref="A64:F64"/>
    <mergeCell ref="A77:F77"/>
    <mergeCell ref="G78:G80"/>
    <mergeCell ref="B70:B71"/>
    <mergeCell ref="L57:L58"/>
    <mergeCell ref="K44:K45"/>
    <mergeCell ref="J44:J45"/>
    <mergeCell ref="C66:C68"/>
    <mergeCell ref="D66:D68"/>
    <mergeCell ref="E66:E68"/>
    <mergeCell ref="C57:C58"/>
    <mergeCell ref="F57:F58"/>
    <mergeCell ref="C41:C42"/>
    <mergeCell ref="A55:F55"/>
    <mergeCell ref="A41:A42"/>
    <mergeCell ref="B41:B42"/>
    <mergeCell ref="C30:C31"/>
    <mergeCell ref="F8:F9"/>
    <mergeCell ref="L8:L9"/>
    <mergeCell ref="L12:L13"/>
    <mergeCell ref="K10:K11"/>
    <mergeCell ref="F30:F31"/>
    <mergeCell ref="A37:F37"/>
    <mergeCell ref="H78:H80"/>
    <mergeCell ref="N41:N42"/>
    <mergeCell ref="F41:F42"/>
    <mergeCell ref="I78:I80"/>
    <mergeCell ref="J78:J80"/>
    <mergeCell ref="K78:K80"/>
    <mergeCell ref="L78:L80"/>
    <mergeCell ref="N78:N80"/>
    <mergeCell ref="N66:N67"/>
    <mergeCell ref="N44:N45"/>
    <mergeCell ref="M41:M42"/>
    <mergeCell ref="G41:G42"/>
    <mergeCell ref="H41:H42"/>
    <mergeCell ref="I57:I58"/>
    <mergeCell ref="K57:K58"/>
    <mergeCell ref="J57:J58"/>
    <mergeCell ref="L44:L45"/>
    <mergeCell ref="A30:A31"/>
    <mergeCell ref="H57:H58"/>
    <mergeCell ref="B57:B58"/>
    <mergeCell ref="A44:A45"/>
    <mergeCell ref="B44:B45"/>
    <mergeCell ref="C44:C45"/>
    <mergeCell ref="G44:G45"/>
    <mergeCell ref="G57:G58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30:I31"/>
    <mergeCell ref="J30:J31"/>
    <mergeCell ref="J8:J9"/>
    <mergeCell ref="H12:H13"/>
    <mergeCell ref="K30:K31"/>
    <mergeCell ref="K5:L5"/>
    <mergeCell ref="K4:L4"/>
    <mergeCell ref="J12:J13"/>
    <mergeCell ref="I8:I9"/>
    <mergeCell ref="L30:L31"/>
    <mergeCell ref="H10:H11"/>
    <mergeCell ref="H8:H9"/>
    <mergeCell ref="I25:I26"/>
    <mergeCell ref="B30:B31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30:G31"/>
    <mergeCell ref="H30:H31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  <mergeCell ref="G25:G26"/>
    <mergeCell ref="K25:K26"/>
    <mergeCell ref="N25:N26"/>
    <mergeCell ref="A25:A26"/>
    <mergeCell ref="H25:H26"/>
    <mergeCell ref="J25:J26"/>
    <mergeCell ref="L25:L26"/>
    <mergeCell ref="C25:C26"/>
    <mergeCell ref="D25:D26"/>
  </mergeCells>
  <printOptions horizontalCentered="1"/>
  <pageMargins left="0" right="0" top="7.874015748031496E-2" bottom="3.937007874015748E-2" header="0" footer="0"/>
  <pageSetup paperSize="9" scale="35" fitToHeight="5" orientation="landscape" r:id="rId1"/>
  <headerFooter alignWithMargins="0"/>
  <rowBreaks count="2" manualBreakCount="2">
    <brk id="36" max="13" man="1"/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WEB-2019</vt:lpstr>
      <vt:lpstr>'WEB-2019'!Print_Area</vt:lpstr>
      <vt:lpstr>'WEB-2019'!Print_Titles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2019-12-02T12:57:35Z</cp:lastPrinted>
  <dcterms:created xsi:type="dcterms:W3CDTF">2011-04-14T08:42:21Z</dcterms:created>
  <dcterms:modified xsi:type="dcterms:W3CDTF">2020-02-04T07:14:51Z</dcterms:modified>
</cp:coreProperties>
</file>