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ru\Desktop\WEB\September\"/>
    </mc:Choice>
  </mc:AlternateContent>
  <bookViews>
    <workbookView xWindow="0" yWindow="0" windowWidth="19200" windowHeight="7050" tabRatio="177"/>
  </bookViews>
  <sheets>
    <sheet name="For Website_ENG" sheetId="12" r:id="rId1"/>
  </sheets>
  <externalReferences>
    <externalReference r:id="rId2"/>
    <externalReference r:id="rId3"/>
  </externalReferences>
  <definedNames>
    <definedName name="_xlnm.Print_Area" localSheetId="0">'For Website_ENG'!$A$1:$M$105</definedName>
    <definedName name="_xlnm.Print_Titles" localSheetId="0">'For Website_ENG'!$A:$M,'For Website_ENG'!$4:$6</definedName>
  </definedNames>
  <calcPr calcId="162913"/>
</workbook>
</file>

<file path=xl/calcChain.xml><?xml version="1.0" encoding="utf-8"?>
<calcChain xmlns="http://schemas.openxmlformats.org/spreadsheetml/2006/main">
  <c r="K108" i="12" l="1"/>
  <c r="L108" i="12"/>
  <c r="J108" i="12"/>
  <c r="I108" i="12"/>
  <c r="K101" i="12"/>
  <c r="K100" i="12"/>
  <c r="K98" i="12"/>
  <c r="K97" i="12"/>
  <c r="K96" i="12"/>
  <c r="K95" i="12"/>
  <c r="L94" i="12"/>
  <c r="K94" i="12"/>
  <c r="L93" i="12"/>
  <c r="K91" i="12"/>
  <c r="K90" i="12"/>
  <c r="L87" i="12"/>
  <c r="K85" i="12"/>
  <c r="K84" i="12"/>
  <c r="K83" i="12"/>
  <c r="L80" i="12"/>
  <c r="K80" i="12"/>
  <c r="K69" i="12"/>
  <c r="L68" i="12"/>
  <c r="K68" i="12"/>
  <c r="L65" i="12"/>
  <c r="K65" i="12"/>
  <c r="L64" i="12"/>
  <c r="L63" i="12"/>
  <c r="K63" i="12"/>
  <c r="L62" i="12"/>
  <c r="K62" i="12"/>
  <c r="L61" i="12"/>
  <c r="K61" i="12"/>
  <c r="K58" i="12"/>
  <c r="K55" i="12"/>
  <c r="L54" i="12"/>
  <c r="K54" i="12"/>
  <c r="K52" i="12"/>
  <c r="K51" i="12"/>
  <c r="K50" i="12"/>
  <c r="K49" i="12"/>
  <c r="K48" i="12"/>
  <c r="L47" i="12"/>
  <c r="K47" i="12"/>
  <c r="K46" i="12"/>
  <c r="K45" i="12"/>
  <c r="K41" i="12"/>
  <c r="L40" i="12"/>
  <c r="K40" i="12"/>
  <c r="K39" i="12"/>
  <c r="L38" i="12"/>
  <c r="K38" i="12"/>
  <c r="K36" i="12"/>
  <c r="K35" i="12"/>
  <c r="K34" i="12"/>
  <c r="K33" i="12"/>
  <c r="K32" i="12"/>
  <c r="K27" i="12"/>
  <c r="K21" i="12"/>
  <c r="K20" i="12"/>
  <c r="K18" i="12"/>
  <c r="L17" i="12"/>
  <c r="K17" i="12"/>
  <c r="K16" i="12"/>
  <c r="K14" i="12"/>
  <c r="K10" i="12"/>
  <c r="K8" i="12"/>
  <c r="I56" i="12" l="1"/>
  <c r="J89" i="12"/>
  <c r="I89" i="12"/>
  <c r="K74" i="12"/>
  <c r="K67" i="12"/>
  <c r="K53" i="12"/>
  <c r="K43" i="12" l="1"/>
  <c r="K25" i="12"/>
  <c r="L88" i="12" l="1"/>
  <c r="H56" i="12" l="1"/>
  <c r="G56" i="12"/>
  <c r="J56" i="12"/>
  <c r="H66" i="12"/>
  <c r="G66" i="12"/>
  <c r="G79" i="12"/>
  <c r="G89" i="12"/>
  <c r="H89" i="12"/>
  <c r="K78" i="12"/>
  <c r="K77" i="12"/>
  <c r="K76" i="12"/>
  <c r="L75" i="12"/>
  <c r="K75" i="12"/>
  <c r="K73" i="12"/>
  <c r="K72" i="12"/>
  <c r="K71" i="12"/>
  <c r="K70" i="12"/>
  <c r="F65" i="12"/>
  <c r="L57" i="12"/>
  <c r="L56" i="12" s="1"/>
  <c r="K57" i="12"/>
  <c r="K30" i="12" l="1"/>
  <c r="L89" i="12" l="1"/>
  <c r="K89" i="12"/>
  <c r="K60" i="12"/>
  <c r="K56" i="12" s="1"/>
  <c r="H79" i="12" l="1"/>
  <c r="I79" i="12"/>
  <c r="J79" i="12"/>
  <c r="K79" i="12"/>
  <c r="L79" i="12"/>
  <c r="I66" i="12"/>
  <c r="J66" i="12"/>
  <c r="L66" i="12"/>
  <c r="K66" i="12" l="1"/>
  <c r="I7" i="12"/>
  <c r="G37" i="12" l="1"/>
  <c r="J37" i="12" l="1"/>
  <c r="I37" i="12"/>
  <c r="H37" i="12"/>
  <c r="L37" i="12" l="1"/>
  <c r="K37" i="12"/>
  <c r="E68" i="12" l="1"/>
  <c r="F61" i="12"/>
  <c r="E61" i="12"/>
  <c r="E59" i="12"/>
  <c r="E58" i="12"/>
  <c r="E42" i="12"/>
  <c r="E41" i="12"/>
  <c r="J7" i="12" l="1"/>
  <c r="H7" i="12"/>
  <c r="G7" i="12"/>
  <c r="L7" i="12"/>
  <c r="K7" i="12" l="1"/>
  <c r="G86" i="12" l="1"/>
  <c r="G102" i="12" s="1"/>
  <c r="G108" i="12" s="1"/>
  <c r="H86" i="12"/>
  <c r="I86" i="12"/>
  <c r="J86" i="12"/>
  <c r="J102" i="12" s="1"/>
  <c r="K86" i="12"/>
  <c r="K102" i="12" s="1"/>
  <c r="L86" i="12"/>
  <c r="L102" i="12" s="1"/>
  <c r="H102" i="12" l="1"/>
  <c r="H108" i="12" s="1"/>
  <c r="I102" i="12"/>
</calcChain>
</file>

<file path=xl/sharedStrings.xml><?xml version="1.0" encoding="utf-8"?>
<sst xmlns="http://schemas.openxmlformats.org/spreadsheetml/2006/main" count="271" uniqueCount="192">
  <si>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</si>
  <si>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</si>
  <si>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</si>
  <si>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</si>
  <si>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</si>
  <si>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</si>
  <si>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</si>
  <si>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</si>
  <si>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</si>
  <si>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</si>
  <si>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</si>
  <si>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</si>
  <si>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</si>
  <si>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</si>
  <si>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</si>
  <si>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</si>
  <si>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</si>
  <si>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</si>
  <si>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</si>
  <si>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</si>
  <si>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</si>
  <si>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</si>
  <si>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</si>
  <si>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</si>
  <si>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</si>
  <si>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</si>
  <si>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</si>
  <si>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</si>
  <si>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</si>
  <si>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</si>
  <si>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</si>
  <si>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</si>
  <si>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</si>
  <si>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</si>
  <si>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</si>
  <si>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</si>
  <si>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</si>
  <si>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</si>
  <si>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</si>
  <si>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</si>
  <si>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</si>
  <si>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</si>
  <si>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</si>
  <si>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</si>
  <si>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</si>
  <si>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</si>
  <si>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</si>
  <si>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</si>
  <si>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</si>
  <si>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</si>
  <si>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</si>
  <si>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</si>
  <si>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</si>
  <si>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</si>
  <si>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</si>
  <si>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</si>
  <si>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</si>
  <si>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</si>
  <si>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</si>
  <si>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</si>
  <si>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</si>
  <si>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</si>
  <si>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</si>
  <si>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</si>
  <si>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</si>
  <si>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</si>
  <si>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</si>
  <si>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</si>
  <si>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</si>
  <si>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</si>
  <si>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</si>
  <si>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</si>
  <si>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</si>
  <si>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</si>
  <si>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</si>
  <si>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</si>
  <si>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</si>
  <si>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</si>
  <si>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</si>
  <si>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</si>
  <si>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</si>
  <si>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</si>
  <si>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</si>
  <si>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</si>
  <si>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</si>
  <si>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</si>
  <si>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</si>
  <si>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</si>
  <si>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</si>
  <si>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</si>
  <si>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</si>
  <si>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</si>
  <si>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</si>
  <si>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</si>
  <si>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</si>
  <si>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</si>
  <si>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</si>
  <si>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</si>
  <si>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</si>
  <si>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</si>
  <si>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</si>
  <si>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</si>
  <si>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</si>
  <si>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</si>
  <si>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</si>
  <si>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</si>
  <si>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</si>
  <si>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</si>
  <si>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</si>
  <si>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</si>
  <si>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</si>
  <si>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</si>
  <si>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</si>
  <si>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</si>
  <si>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</si>
  <si>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</si>
  <si>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</si>
  <si>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</si>
  <si>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</si>
  <si>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</si>
  <si>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</si>
  <si>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</si>
  <si>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</si>
  <si>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</si>
  <si>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</si>
  <si>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</si>
  <si>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</si>
  <si>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</si>
  <si>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</si>
  <si>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</si>
  <si>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</si>
  <si>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</si>
  <si>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</si>
  <si>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</si>
  <si>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</si>
  <si>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</si>
  <si>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</si>
  <si>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Vocational Education Programme I (KfW)</t>
  </si>
  <si>
    <t xml:space="preserve"> Livable Cities Investment Program (ADB)</t>
  </si>
  <si>
    <t>Urban Transport Development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</si>
  <si>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</si>
  <si>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</si>
  <si>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</si>
  <si>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</si>
  <si>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</si>
  <si>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</si>
  <si>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</si>
  <si>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</si>
  <si>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</si>
  <si>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</si>
  <si>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Reconstruction and construction of Tbilisi-Senaki-Leselidze road Khevi Ubisa section (construction works are onging). 
Detailed project preparation works are ongoing for  Tbilisi and Natakhtari-Zhinvali section.</t>
  </si>
  <si>
    <t>Construction of Poti Bridge on River Rioni and the tender proposal is being evaluated on the tender for the construction of access roads.</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</si>
  <si>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</si>
  <si>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</si>
  <si>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</si>
  <si>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</si>
  <si>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</si>
  <si>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</si>
  <si>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</si>
  <si>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Construction/Upgrading of Algeti-Sadakhlo Road  (planned) (Tender procedures are ongoing to select a supervisor for the construction works of Algeti-Sadakhlo section).</t>
  </si>
  <si>
    <t>Bakuriani Municipal Service Improvement Program  (EBRD)</t>
  </si>
  <si>
    <t>KfW - Rural Water Supply and Waste Water Programme - Adjara</t>
  </si>
  <si>
    <t>Tbilisi Metro Project (EBRD)</t>
  </si>
  <si>
    <t>Upgrading of approximately 11 km of the existing 2-line East-West Highway Corridor to a  2-line dual carriageway from  Chumateleti to Khevi (Construction works are ongoing).</t>
  </si>
  <si>
    <t xml:space="preserve"> Rehabilitation-reconstruction of Shorapani-Argveta section of Tbilisi-Senaki-Leselidze highway. The agreement was signed on January 16, 2020 (Preparatory work is ongoing).</t>
  </si>
  <si>
    <t>The project envisages rehabilitation of water supply and sewerage systems in the villages of Khulo, Keda and Shuakhevi, Khelvachauri and Kobuleti municipalities of the Autonomous Republic of Adjara. The procedures for planning works are ongoing  at this stage.</t>
  </si>
  <si>
    <t>Rehabilitation / equipping of medical facilities and establishment of their functional as multidisciplinary hospitals.</t>
  </si>
  <si>
    <t>Funding of COVID-19 related measures for Health Sector (EIB)</t>
  </si>
  <si>
    <t xml:space="preserve">Reconstruction - Rehabilitation and necessary efficiency improvements of approximately 25 public schools in Tbilisi. (preparatory works are ongoing). </t>
  </si>
  <si>
    <r>
      <t xml:space="preserve">
-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is ongoing;
</t>
    </r>
  </si>
  <si>
    <r>
      <t>Date of Agreement</t>
    </r>
    <r>
      <rPr>
        <b/>
        <sz val="12"/>
        <color theme="1"/>
        <rFont val="Calibri"/>
        <family val="2"/>
      </rPr>
      <t>*</t>
    </r>
  </si>
  <si>
    <t>Georgia I2Q - Innovation, Inclusion and Quality Project (IBRD) - MES</t>
  </si>
  <si>
    <t>Georgia I2Q - Innovation, Inclusion and Quality Project (IBRD) - MDF</t>
  </si>
  <si>
    <t xml:space="preserve"> - Construction of the Agara - Zemo Osiauri Section (approximately 12 km) of the Highway (construction works are completed, it is open for traffic);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</si>
  <si>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(მaintenance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ნegotiations are ongoing with the contractor in order to bring  the relevant experts);
 - Zugdidi - Construction of water systems (completed, acceptance procedures are underway);
 - Zugdidi - Construction/rehabilitation of wastewater systems  (completed, acceptance procedures are underway);
 - Zugdidi - Construction of water supply and wastewater systems (the procedures for selection of the design are ongoing);
- Jvari – Construction of Water Supply System (construction works are ongoing);  
- Chiatura - Construction of Water Supply System (comleted,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ongoing).M55</t>
  </si>
  <si>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 xml:space="preserve"> Development of the dairy value chain:
-</t>
    </r>
    <r>
      <rPr>
        <sz val="12"/>
        <rFont val="Franklin Gothic Book"/>
        <family val="2"/>
        <scheme val="minor"/>
      </rPr>
      <t xml:space="preserve"> Received grant applications are being processed and potential funding applications are being validated;
-Negotiations are ongoing to conclude a contract with the company that won the tender (service provider selection);
</t>
    </r>
    <r>
      <rPr>
        <b/>
        <sz val="12"/>
        <color theme="1"/>
        <rFont val="Franklin Gothic Book"/>
        <family val="2"/>
        <scheme val="minor"/>
      </rPr>
      <t/>
    </r>
  </si>
  <si>
    <t>Improving the educational infrastructure to support learning.</t>
  </si>
  <si>
    <t xml:space="preserve">As of September 30, 2020 (In thousand) </t>
  </si>
  <si>
    <t xml:space="preserve">  - Construction of the Zemo Osiauri - Chumateleti Section (approximately 14.1 km) of the Highway ( construction works  for Lot I are completed, agreement for Lot II was terminated, out of which  for 1.9 km section (km-5 + 800-km-7 + 700) the contract was signed with the contracting company of Lot I - Sinohydro the works on the km0-km7.7 section have been completed. Tender for the remaining part of Lot II (km7.7-km 14.6) were opened on April 1, 2020. The evaluation report of the submitted proposals was sent to the World Bank for approval.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</si>
  <si>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 Construction of a new four lane highway (approx. 50 km) from Samtredia to Grigoleti (construction works are going under the I and IV lots, ll lot - construction works have been completed and is opened for traffic;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planned by 2021.
- The contract for Lot II was signed on November 13, 2015. (The works are completed, the traffic is open);
- The contract for Lot  IV  was signed on December 24, 2014. Completion of works  is planned by 2021.
 - Road sections of Poti-Grigoleti and Grigoleti-Kobuleti Bypass Road (  preparation of the Detailed Design was completed);</t>
  </si>
  <si>
    <t>Construction of Tbilisi-Bakurtsikhe-Lagodekhi road km20-km50 section of Lochini-Sagarejo (detailed project preparation works are ongoing).</t>
  </si>
  <si>
    <t>Rehabilitation of secondary and local roads in different regions of Georgia (approx. 200 km in total) (rehabilitation works for additional 12 road sections are completed  within the project (approx. 80 km in total). Road safety improvement works are ongoing in Imereti and Shida Kartli regions. Tenders were announced for the improvement of road traffic safety in Mtskheta-Mtianeti, Racha-Lechkhumi and Kvemo Svaneti, Imereti and Adjara regions;
- Bakurtsikhe-Tsnori and Gurjaani-Telavi section (detailed project preparation completed)
-8 km out of the 15.5 km section of Gurjaani bypass road has been completed, as well as the construction of 6 bridges out of 7 bridges have been completed, land  and construction works  of artificial buildings and  the road surface of the upper layer of the ground are ongoing.</t>
  </si>
  <si>
    <t xml:space="preserve"> - Rehabilitation  of selected secondary road sections in Guria region (Tender was announced for the rehabilitation works of 4 sections);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identified,the contracts are signed for both lots, the works are ongoing;
 -Monitoring and supervision of works contracts (supervision of rehabilitation works  of 4 road sections is ongoing).</t>
  </si>
  <si>
    <t>Batumi (Angisa) - Rehabilitation of the Khulo-Zarzma section of the Akhaltsikhe highway has been suspended. Procedures for concluding contracts (Lot I and Lot II) with the company that won the re-announced tender are ongoing.</t>
  </si>
  <si>
    <t>Construction of a new bridge at the Sadakhlo-Bagratashen border crossing between the Republic of Armenia and Georgia  dDetailed design works completed).</t>
  </si>
  <si>
    <t>30.08.2024</t>
  </si>
  <si>
    <t xml:space="preserve">- Renewing the Solid Waste collection fleet (rear loaded compactor vehicles) (tender was announced);
-  Upgrading of the existing solid waste transfer station (The process of preparation of tender documents is ongoing);
- Rehabilitation and Improvement  of the  leachate system at the  solid waste landfill of Tbilisi (the process of agreement on system specification with consultant is ongoing). </t>
  </si>
  <si>
    <t>Rehabilitation of wastewater collector and treatment plant in Kobuleti  (completed). Consultations are ongoing with the EBRD on the use of the remaining funds).</t>
  </si>
  <si>
    <t>- Purchasing of buses (diesel and electric). 40 units of diesel buses were purchased and brought to Georgia; 
- Electric buses (6 units) are purchased and imported. The remaining 2 units of buses will also arrive In November, 2020.</t>
  </si>
  <si>
    <t>126 units of buses are purchased and imported; The remaining 100 units of  buses are planned to be purchased and imported by the end of March 2021.</t>
  </si>
  <si>
    <t xml:space="preserve">Purchase of Tbilisi Metro carriages; Rehabilitation of metro depot and tunnel. The second stage of the tender is ongoing for the purchasing  of carrages; concluding the contract with the winning company is scheduled by January 2021. </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</si>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</sst>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
      <b/>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style="dotted">
        <color theme="0" tint="-0.499984740745262"/>
      </top>
      <bottom style="dotted">
        <color indexed="64"/>
      </bottom>
      <diagonal/>
    </border>
    <border>
      <left/>
      <right style="medium">
        <color indexed="64"/>
      </right>
      <top/>
      <bottom/>
      <diagonal/>
    </border>
    <border>
      <left style="medium">
        <color indexed="64"/>
      </left>
      <right style="medium">
        <color indexed="64"/>
      </right>
      <top/>
      <bottom/>
      <diagonal/>
    </border>
    <border>
      <left style="dotted">
        <color theme="1" tint="4.9989318521683403E-2"/>
      </left>
      <right style="dotted">
        <color theme="1" tint="4.9989318521683403E-2"/>
      </right>
      <top style="dotted">
        <color theme="1" tint="4.9989318521683403E-2"/>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theme="0" tint="-0.499984740745262"/>
      </right>
      <top style="medium">
        <color indexed="64"/>
      </top>
      <bottom style="dotted">
        <color theme="0" tint="-0.499984740745262"/>
      </bottom>
      <diagonal/>
    </border>
    <border>
      <left style="dotted">
        <color theme="0" tint="-0.499984740745262"/>
      </left>
      <right style="thin">
        <color indexed="64"/>
      </right>
      <top style="medium">
        <color indexed="64"/>
      </top>
      <bottom style="dotted">
        <color theme="0" tint="-0.499984740745262"/>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0" tint="-0.499984740745262"/>
      </right>
      <top style="dotted">
        <color theme="0" tint="-0.499984740745262"/>
      </top>
      <bottom/>
      <diagonal/>
    </border>
    <border>
      <left style="dotted">
        <color theme="0" tint="-0.499984740745262"/>
      </left>
      <right style="thin">
        <color indexed="64"/>
      </right>
      <top style="dotted">
        <color theme="0" tint="-0.499984740745262"/>
      </top>
      <bottom/>
      <diagonal/>
    </border>
    <border>
      <left style="thin">
        <color indexed="64"/>
      </left>
      <right style="dotted">
        <color theme="0" tint="-0.499984740745262"/>
      </right>
      <top/>
      <bottom style="dotted">
        <color theme="0" tint="-0.499984740745262"/>
      </bottom>
      <diagonal/>
    </border>
    <border>
      <left style="dotted">
        <color theme="0" tint="-0.499984740745262"/>
      </left>
      <right style="thin">
        <color indexed="64"/>
      </right>
      <top/>
      <bottom style="dotted">
        <color theme="0" tint="-0.499984740745262"/>
      </bottom>
      <diagonal/>
    </border>
    <border>
      <left style="thin">
        <color indexed="64"/>
      </left>
      <right style="dotted">
        <color theme="1" tint="4.9989318521683403E-2"/>
      </right>
      <top style="dotted">
        <color theme="1" tint="4.9989318521683403E-2"/>
      </top>
      <bottom style="dotted">
        <color theme="1" tint="4.9989318521683403E-2"/>
      </bottom>
      <diagonal/>
    </border>
    <border>
      <left style="thin">
        <color indexed="64"/>
      </left>
      <right style="dotted">
        <color theme="0" tint="-0.499984740745262"/>
      </right>
      <top style="dotted">
        <color theme="0" tint="-0.499984740745262"/>
      </top>
      <bottom style="thin">
        <color indexed="64"/>
      </bottom>
      <diagonal/>
    </border>
    <border>
      <left style="dotted">
        <color theme="0" tint="-0.499984740745262"/>
      </left>
      <right style="thin">
        <color indexed="64"/>
      </right>
      <top style="dotted">
        <color theme="0" tint="-0.499984740745262"/>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dotted">
        <color theme="0" tint="-0.499984740745262"/>
      </left>
      <right style="thin">
        <color indexed="64"/>
      </right>
      <top style="medium">
        <color indexed="64"/>
      </top>
      <bottom/>
      <diagonal/>
    </border>
    <border>
      <left style="dotted">
        <color theme="0" tint="-0.499984740745262"/>
      </left>
      <right style="thin">
        <color indexed="64"/>
      </right>
      <top/>
      <bottom/>
      <diagonal/>
    </border>
    <border>
      <left style="thin">
        <color indexed="64"/>
      </left>
      <right style="dotted">
        <color theme="0" tint="-0.499984740745262"/>
      </right>
      <top style="dotted">
        <color theme="0" tint="-0.499984740745262"/>
      </top>
      <bottom style="medium">
        <color indexed="64"/>
      </bottom>
      <diagonal/>
    </border>
    <border>
      <left style="dotted">
        <color theme="0" tint="-0.499984740745262"/>
      </left>
      <right style="thin">
        <color indexed="64"/>
      </right>
      <top style="dotted">
        <color theme="0" tint="-0.499984740745262"/>
      </top>
      <bottom style="medium">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medium">
        <color indexed="64"/>
      </top>
      <bottom/>
      <diagonal/>
    </border>
    <border>
      <left style="dotted">
        <color theme="1" tint="4.9989318521683403E-2"/>
      </left>
      <right style="dotted">
        <color theme="1" tint="4.9989318521683403E-2"/>
      </right>
      <top style="dotted">
        <color theme="1" tint="4.9989318521683403E-2"/>
      </top>
      <bottom style="medium">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68">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4"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4" fontId="12" fillId="3" borderId="11"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2" borderId="14"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5" fontId="7" fillId="2" borderId="13" xfId="1" applyNumberFormat="1" applyFont="1" applyFill="1" applyBorder="1" applyAlignment="1">
      <alignment horizontal="center" vertical="center" wrapText="1"/>
    </xf>
    <xf numFmtId="49" fontId="8" fillId="0" borderId="0" xfId="11" applyNumberFormat="1" applyFont="1" applyFill="1" applyBorder="1" applyAlignment="1">
      <alignment vertical="center"/>
    </xf>
    <xf numFmtId="165" fontId="7" fillId="0" borderId="12" xfId="1" applyNumberFormat="1" applyFont="1" applyFill="1" applyBorder="1" applyAlignment="1">
      <alignment horizontal="center" vertical="center" wrapText="1"/>
    </xf>
    <xf numFmtId="165" fontId="5" fillId="0" borderId="16" xfId="1" applyNumberFormat="1" applyFont="1" applyFill="1" applyBorder="1" applyAlignment="1">
      <alignment horizontal="center" vertical="center" wrapText="1"/>
    </xf>
    <xf numFmtId="165" fontId="14" fillId="2" borderId="1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6" fontId="9" fillId="0" borderId="0" xfId="1" applyNumberFormat="1" applyFont="1" applyFill="1" applyBorder="1" applyAlignment="1">
      <alignment vertical="center"/>
    </xf>
    <xf numFmtId="165" fontId="7" fillId="0" borderId="13" xfId="1" applyNumberFormat="1" applyFont="1" applyFill="1" applyBorder="1" applyAlignment="1">
      <alignment vertical="center" wrapText="1"/>
    </xf>
    <xf numFmtId="165" fontId="7" fillId="0" borderId="13" xfId="1" applyNumberFormat="1" applyFont="1" applyBorder="1" applyAlignment="1">
      <alignment horizontal="center" vertical="center" wrapText="1"/>
    </xf>
    <xf numFmtId="165" fontId="7" fillId="0" borderId="14" xfId="1" applyNumberFormat="1" applyFont="1" applyBorder="1" applyAlignment="1">
      <alignment horizontal="center" vertical="center" wrapText="1"/>
    </xf>
    <xf numFmtId="165" fontId="7" fillId="0" borderId="16" xfId="1" applyNumberFormat="1" applyFont="1" applyBorder="1" applyAlignment="1">
      <alignment horizontal="center" vertical="center" wrapText="1"/>
    </xf>
    <xf numFmtId="165" fontId="5" fillId="0" borderId="25" xfId="1" applyNumberFormat="1" applyFont="1" applyFill="1" applyBorder="1" applyAlignment="1">
      <alignment horizontal="center" vertical="center" wrapText="1"/>
    </xf>
    <xf numFmtId="0" fontId="7" fillId="0" borderId="0" xfId="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0" fontId="5" fillId="3" borderId="34" xfId="1" applyFont="1" applyFill="1" applyBorder="1" applyAlignment="1">
      <alignment horizontal="center" vertical="center"/>
    </xf>
    <xf numFmtId="49" fontId="7" fillId="3" borderId="35" xfId="12" applyNumberFormat="1" applyFont="1" applyFill="1" applyBorder="1" applyAlignment="1">
      <alignment horizontal="center" vertical="center" wrapText="1"/>
    </xf>
    <xf numFmtId="49" fontId="15" fillId="4" borderId="35" xfId="1" applyNumberFormat="1" applyFont="1" applyFill="1" applyBorder="1" applyAlignment="1">
      <alignment horizontal="center" vertical="center"/>
    </xf>
    <xf numFmtId="0" fontId="5" fillId="2" borderId="38" xfId="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0" fontId="7" fillId="0" borderId="38" xfId="1" applyFont="1" applyFill="1" applyBorder="1" applyAlignment="1">
      <alignment vertical="center" wrapText="1"/>
    </xf>
    <xf numFmtId="0" fontId="7" fillId="2" borderId="38" xfId="1" applyFont="1" applyFill="1" applyBorder="1" applyAlignment="1">
      <alignment vertical="center" wrapText="1"/>
    </xf>
    <xf numFmtId="49" fontId="7" fillId="0" borderId="41" xfId="1" applyNumberFormat="1" applyFont="1" applyFill="1" applyBorder="1" applyAlignment="1">
      <alignment horizontal="left" vertical="center" wrapText="1"/>
    </xf>
    <xf numFmtId="0" fontId="7" fillId="0" borderId="38"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36" xfId="1" applyFont="1" applyFill="1" applyBorder="1" applyAlignment="1">
      <alignment horizontal="left" vertical="center" wrapText="1"/>
    </xf>
    <xf numFmtId="49" fontId="7" fillId="0" borderId="37" xfId="1" applyNumberFormat="1" applyFont="1" applyFill="1" applyBorder="1" applyAlignment="1">
      <alignment horizontal="left" vertical="center" wrapText="1"/>
    </xf>
    <xf numFmtId="0" fontId="5" fillId="0" borderId="38" xfId="4" applyFont="1" applyFill="1" applyBorder="1" applyAlignment="1">
      <alignment horizontal="left" vertical="center" wrapText="1"/>
    </xf>
    <xf numFmtId="0" fontId="5" fillId="0" borderId="44" xfId="1" applyFont="1" applyFill="1" applyBorder="1" applyAlignment="1">
      <alignment horizontal="left" vertical="center" wrapText="1"/>
    </xf>
    <xf numFmtId="49" fontId="5" fillId="0" borderId="39" xfId="1" applyNumberFormat="1" applyFont="1" applyFill="1" applyBorder="1" applyAlignment="1">
      <alignment horizontal="left" vertical="center" wrapText="1"/>
    </xf>
    <xf numFmtId="0" fontId="7" fillId="0" borderId="44" xfId="1" applyFont="1" applyFill="1" applyBorder="1" applyAlignment="1">
      <alignment horizontal="left" vertical="center" wrapText="1"/>
    </xf>
    <xf numFmtId="0" fontId="5" fillId="0" borderId="45" xfId="1" applyFont="1" applyFill="1" applyBorder="1" applyAlignment="1">
      <alignment horizontal="left" vertical="center" wrapText="1"/>
    </xf>
    <xf numFmtId="49" fontId="7" fillId="0" borderId="46" xfId="1" applyNumberFormat="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36" xfId="1" applyFont="1" applyFill="1" applyBorder="1" applyAlignment="1">
      <alignment horizontal="left" vertical="center" wrapText="1"/>
    </xf>
    <xf numFmtId="49" fontId="7" fillId="0" borderId="43" xfId="1" applyNumberFormat="1" applyFont="1" applyFill="1" applyBorder="1" applyAlignment="1" applyProtection="1">
      <alignment horizontal="left" vertical="center" wrapText="1"/>
      <protection locked="0"/>
    </xf>
    <xf numFmtId="49" fontId="7" fillId="0" borderId="39" xfId="1" applyNumberFormat="1" applyFont="1" applyFill="1" applyBorder="1" applyAlignment="1" applyProtection="1">
      <alignment horizontal="left" vertical="center" wrapText="1"/>
      <protection locked="0"/>
    </xf>
    <xf numFmtId="0" fontId="5" fillId="0" borderId="52" xfId="1" applyFont="1" applyFill="1" applyBorder="1" applyAlignment="1">
      <alignment horizontal="left" vertical="center" wrapText="1"/>
    </xf>
    <xf numFmtId="49" fontId="7" fillId="0" borderId="53" xfId="1" applyNumberFormat="1" applyFont="1" applyFill="1" applyBorder="1" applyAlignment="1">
      <alignment horizontal="left"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0" borderId="38" xfId="4" applyFont="1" applyFill="1" applyBorder="1" applyAlignment="1">
      <alignment horizontal="left"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6" fillId="0" borderId="0" xfId="1" applyFont="1" applyFill="1" applyBorder="1" applyAlignment="1">
      <alignment vertical="center" wrapText="1"/>
    </xf>
    <xf numFmtId="164" fontId="7"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164" fontId="6" fillId="0" borderId="13" xfId="1" applyNumberFormat="1" applyFont="1" applyBorder="1" applyAlignment="1">
      <alignment horizontal="center" vertical="center" wrapText="1"/>
    </xf>
    <xf numFmtId="164" fontId="5" fillId="0" borderId="17" xfId="1" applyNumberFormat="1" applyFont="1" applyFill="1" applyBorder="1" applyAlignment="1">
      <alignment horizontal="center" vertical="center" wrapText="1"/>
    </xf>
    <xf numFmtId="164" fontId="5" fillId="0" borderId="14" xfId="1" applyNumberFormat="1" applyFont="1" applyBorder="1" applyAlignment="1">
      <alignment horizontal="center" vertical="center" wrapText="1"/>
    </xf>
    <xf numFmtId="164" fontId="7" fillId="0" borderId="14" xfId="1" applyNumberFormat="1" applyFont="1" applyBorder="1" applyAlignment="1">
      <alignment horizontal="center" vertical="center" wrapText="1"/>
    </xf>
    <xf numFmtId="164" fontId="12" fillId="3" borderId="4" xfId="1" applyNumberFormat="1" applyFont="1" applyFill="1" applyBorder="1" applyAlignment="1">
      <alignment horizontal="center" vertical="center" wrapText="1"/>
    </xf>
    <xf numFmtId="49" fontId="15" fillId="3" borderId="35" xfId="1" applyNumberFormat="1" applyFont="1" applyFill="1" applyBorder="1" applyAlignment="1">
      <alignment horizontal="center" vertical="center" wrapText="1"/>
    </xf>
    <xf numFmtId="0" fontId="9" fillId="0" borderId="0" xfId="1" applyFont="1" applyFill="1" applyBorder="1" applyAlignment="1">
      <alignment vertical="center" wrapText="1"/>
    </xf>
    <xf numFmtId="164" fontId="5" fillId="0" borderId="15" xfId="1" applyNumberFormat="1" applyFont="1" applyBorder="1" applyAlignment="1">
      <alignment horizontal="center" vertical="center" wrapText="1"/>
    </xf>
    <xf numFmtId="164" fontId="7" fillId="0" borderId="15"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164" fontId="5" fillId="0" borderId="25" xfId="1" applyNumberFormat="1" applyFont="1" applyBorder="1" applyAlignment="1">
      <alignment horizontal="center" vertical="center" wrapText="1"/>
    </xf>
    <xf numFmtId="164" fontId="7" fillId="0" borderId="25" xfId="1" applyNumberFormat="1" applyFont="1" applyBorder="1" applyAlignment="1">
      <alignment horizontal="center" vertical="center" wrapText="1"/>
    </xf>
    <xf numFmtId="164" fontId="12" fillId="3" borderId="24" xfId="1" applyNumberFormat="1" applyFont="1" applyFill="1" applyBorder="1" applyAlignment="1">
      <alignment horizontal="center" vertical="center" wrapText="1"/>
    </xf>
    <xf numFmtId="49" fontId="15" fillId="3" borderId="48" xfId="1" applyNumberFormat="1" applyFont="1" applyFill="1" applyBorder="1" applyAlignment="1">
      <alignment horizontal="center" vertical="center" wrapText="1"/>
    </xf>
    <xf numFmtId="164" fontId="5" fillId="0" borderId="12"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4" fontId="16" fillId="0" borderId="13" xfId="1" applyNumberFormat="1" applyFont="1" applyFill="1" applyBorder="1" applyAlignment="1">
      <alignment horizontal="center" vertical="center" wrapText="1"/>
    </xf>
    <xf numFmtId="43" fontId="7" fillId="0" borderId="13" xfId="11" applyFont="1" applyBorder="1" applyAlignment="1">
      <alignment horizontal="center" vertical="center" wrapText="1"/>
    </xf>
    <xf numFmtId="164" fontId="12" fillId="3" borderId="10" xfId="1" applyNumberFormat="1" applyFont="1" applyFill="1" applyBorder="1" applyAlignment="1">
      <alignment horizontal="center" vertical="center" wrapText="1"/>
    </xf>
    <xf numFmtId="49" fontId="15" fillId="3" borderId="4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4" fontId="7" fillId="2" borderId="13" xfId="1" applyNumberFormat="1" applyFont="1" applyFill="1" applyBorder="1" applyAlignment="1">
      <alignment vertical="center" wrapText="1"/>
    </xf>
    <xf numFmtId="164" fontId="7" fillId="0" borderId="13" xfId="1" applyNumberFormat="1" applyFont="1" applyFill="1" applyBorder="1" applyAlignment="1">
      <alignment vertical="center" wrapText="1"/>
    </xf>
    <xf numFmtId="164" fontId="7" fillId="2" borderId="17" xfId="1" applyNumberFormat="1" applyFont="1" applyFill="1" applyBorder="1" applyAlignment="1">
      <alignment horizontal="center" vertical="center" wrapText="1"/>
    </xf>
    <xf numFmtId="164" fontId="7" fillId="0" borderId="17" xfId="1" applyNumberFormat="1" applyFont="1" applyBorder="1" applyAlignment="1">
      <alignment horizontal="center" vertical="center" wrapText="1"/>
    </xf>
    <xf numFmtId="164" fontId="5" fillId="0" borderId="17" xfId="1" applyNumberFormat="1" applyFont="1" applyBorder="1" applyAlignment="1">
      <alignment horizontal="center" vertical="center" wrapText="1"/>
    </xf>
    <xf numFmtId="164" fontId="5" fillId="2"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7" fillId="0" borderId="14"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5" fillId="0" borderId="55" xfId="1" applyNumberFormat="1" applyFont="1" applyFill="1" applyBorder="1" applyAlignment="1">
      <alignment horizontal="center" vertical="center" wrapText="1"/>
    </xf>
    <xf numFmtId="164" fontId="5" fillId="0" borderId="55" xfId="1" applyNumberFormat="1" applyFont="1" applyBorder="1" applyAlignment="1">
      <alignment horizontal="center" vertical="center" wrapText="1"/>
    </xf>
    <xf numFmtId="164" fontId="7" fillId="0" borderId="55" xfId="1" applyNumberFormat="1" applyFont="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4" fontId="7" fillId="0" borderId="13" xfId="1" applyNumberFormat="1" applyFont="1" applyBorder="1" applyAlignment="1">
      <alignment horizontal="center" vertical="center"/>
    </xf>
    <xf numFmtId="164" fontId="7" fillId="0" borderId="14" xfId="1" applyNumberFormat="1" applyFont="1" applyBorder="1" applyAlignment="1">
      <alignment horizontal="center" vertical="center"/>
    </xf>
    <xf numFmtId="164" fontId="7" fillId="0" borderId="15" xfId="1" applyNumberFormat="1" applyFont="1" applyBorder="1" applyAlignment="1">
      <alignment horizontal="center" vertical="center"/>
    </xf>
    <xf numFmtId="164" fontId="7" fillId="0" borderId="16" xfId="1" applyNumberFormat="1" applyFont="1" applyBorder="1" applyAlignment="1">
      <alignment horizontal="center" vertical="center"/>
    </xf>
    <xf numFmtId="164" fontId="7" fillId="0" borderId="16" xfId="1" quotePrefix="1" applyNumberFormat="1" applyFont="1" applyBorder="1" applyAlignment="1">
      <alignment horizontal="center" vertical="center"/>
    </xf>
    <xf numFmtId="43" fontId="7" fillId="0" borderId="16" xfId="11" applyFont="1" applyFill="1" applyBorder="1" applyAlignment="1">
      <alignment horizontal="center" vertical="center"/>
    </xf>
    <xf numFmtId="164" fontId="5" fillId="0" borderId="16" xfId="1" applyNumberFormat="1" applyFont="1" applyBorder="1" applyAlignment="1">
      <alignment horizontal="center" vertical="center"/>
    </xf>
    <xf numFmtId="164" fontId="7" fillId="2" borderId="16" xfId="1" applyNumberFormat="1" applyFont="1" applyFill="1" applyBorder="1" applyAlignment="1">
      <alignment horizontal="center" vertical="center"/>
    </xf>
    <xf numFmtId="164" fontId="7" fillId="0" borderId="57"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2" borderId="13" xfId="1" applyNumberFormat="1" applyFont="1" applyFill="1" applyBorder="1" applyAlignment="1">
      <alignment horizontal="center" vertical="center"/>
    </xf>
    <xf numFmtId="43" fontId="7" fillId="0" borderId="13" xfId="11" applyFont="1" applyFill="1" applyBorder="1" applyAlignment="1">
      <alignment horizontal="center" vertical="center"/>
    </xf>
    <xf numFmtId="164" fontId="5" fillId="2" borderId="12" xfId="1" applyNumberFormat="1" applyFont="1" applyFill="1" applyBorder="1" applyAlignment="1">
      <alignment horizontal="center" vertical="center"/>
    </xf>
    <xf numFmtId="164" fontId="5" fillId="0" borderId="19" xfId="1" applyNumberFormat="1" applyFont="1" applyBorder="1" applyAlignment="1">
      <alignment horizontal="center" vertical="center"/>
    </xf>
    <xf numFmtId="164" fontId="5" fillId="2" borderId="19" xfId="1" applyNumberFormat="1" applyFont="1" applyFill="1" applyBorder="1" applyAlignment="1">
      <alignment horizontal="center" vertical="center"/>
    </xf>
    <xf numFmtId="164" fontId="5" fillId="0" borderId="13" xfId="1" applyNumberFormat="1" applyFont="1" applyBorder="1" applyAlignment="1">
      <alignment horizontal="center" vertical="center"/>
    </xf>
    <xf numFmtId="43" fontId="5" fillId="0" borderId="13" xfId="11" applyFont="1" applyFill="1" applyBorder="1" applyAlignment="1">
      <alignment horizontal="center" vertical="center"/>
    </xf>
    <xf numFmtId="164" fontId="5" fillId="0" borderId="17" xfId="1" applyNumberFormat="1" applyFont="1" applyBorder="1" applyAlignment="1">
      <alignment horizontal="center" vertical="center"/>
    </xf>
    <xf numFmtId="43" fontId="5" fillId="0" borderId="17" xfId="11" applyFont="1" applyFill="1" applyBorder="1" applyAlignment="1">
      <alignment horizontal="center" vertical="center"/>
    </xf>
    <xf numFmtId="43" fontId="7" fillId="0" borderId="17" xfId="11" applyFont="1" applyFill="1" applyBorder="1" applyAlignment="1">
      <alignment horizontal="center" vertical="center"/>
    </xf>
    <xf numFmtId="164" fontId="5" fillId="0" borderId="14" xfId="1" applyNumberFormat="1" applyFont="1" applyBorder="1" applyAlignment="1">
      <alignment horizontal="center" vertical="center"/>
    </xf>
    <xf numFmtId="164" fontId="7" fillId="2" borderId="14" xfId="1" applyNumberFormat="1" applyFont="1" applyFill="1" applyBorder="1" applyAlignment="1">
      <alignment horizontal="center" vertical="center"/>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164" fontId="7" fillId="0" borderId="16"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2" borderId="13" xfId="1" applyNumberFormat="1" applyFont="1" applyFill="1" applyBorder="1" applyAlignment="1">
      <alignment horizontal="center" vertical="center"/>
    </xf>
    <xf numFmtId="164" fontId="7" fillId="2" borderId="12" xfId="1" applyNumberFormat="1" applyFont="1" applyFill="1" applyBorder="1" applyAlignment="1">
      <alignment horizontal="center" vertical="center"/>
    </xf>
    <xf numFmtId="43" fontId="5" fillId="0" borderId="16" xfId="11" applyFont="1" applyFill="1" applyBorder="1" applyAlignment="1">
      <alignment horizontal="center" vertical="center"/>
    </xf>
    <xf numFmtId="164" fontId="7" fillId="2" borderId="19" xfId="1" applyNumberFormat="1" applyFont="1" applyFill="1" applyBorder="1" applyAlignment="1">
      <alignment horizontal="center" vertical="center"/>
    </xf>
    <xf numFmtId="43" fontId="10" fillId="0" borderId="13" xfId="11" applyFont="1" applyFill="1" applyBorder="1" applyAlignment="1">
      <alignment horizontal="center" vertical="center"/>
    </xf>
    <xf numFmtId="0" fontId="5" fillId="0" borderId="40" xfId="1" applyFont="1" applyFill="1" applyBorder="1" applyAlignment="1">
      <alignment horizontal="left" vertical="center" wrapText="1"/>
    </xf>
    <xf numFmtId="0" fontId="5" fillId="0" borderId="42" xfId="1" applyFont="1" applyFill="1" applyBorder="1" applyAlignment="1">
      <alignment horizontal="left" vertical="center" wrapText="1"/>
    </xf>
    <xf numFmtId="165" fontId="7"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5" fillId="0" borderId="38" xfId="4" applyFont="1" applyFill="1" applyBorder="1" applyAlignment="1">
      <alignment horizontal="left" vertical="center" wrapText="1"/>
    </xf>
    <xf numFmtId="165" fontId="5" fillId="0" borderId="13"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7" fillId="0" borderId="54"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7" fillId="0" borderId="54" xfId="1" applyNumberFormat="1" applyFont="1" applyFill="1" applyBorder="1" applyAlignment="1">
      <alignment horizontal="center" vertical="center" wrapText="1"/>
    </xf>
    <xf numFmtId="165" fontId="7" fillId="2" borderId="5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4" fontId="7" fillId="2" borderId="56"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4" fontId="7" fillId="0" borderId="56"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49" fontId="7" fillId="0" borderId="39" xfId="1" applyNumberFormat="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0" borderId="38" xfId="1" applyFont="1" applyFill="1" applyBorder="1" applyAlignment="1">
      <alignment horizontal="left" vertical="center" wrapText="1"/>
    </xf>
    <xf numFmtId="164" fontId="7" fillId="0" borderId="13" xfId="1" applyNumberFormat="1" applyFont="1" applyBorder="1" applyAlignment="1">
      <alignment horizontal="center" vertical="center" wrapText="1"/>
    </xf>
    <xf numFmtId="0" fontId="12" fillId="3" borderId="34"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164" fontId="7" fillId="0" borderId="13" xfId="1" applyNumberFormat="1" applyFont="1" applyBorder="1" applyAlignment="1">
      <alignment horizontal="center" vertical="center"/>
    </xf>
    <xf numFmtId="164" fontId="7" fillId="2" borderId="13" xfId="1" applyNumberFormat="1" applyFont="1" applyFill="1" applyBorder="1" applyAlignment="1">
      <alignment horizontal="center" vertical="center" wrapText="1"/>
    </xf>
    <xf numFmtId="165" fontId="5" fillId="0" borderId="17" xfId="1" applyNumberFormat="1" applyFont="1" applyFill="1" applyBorder="1" applyAlignment="1">
      <alignment horizontal="center" vertical="center" wrapText="1"/>
    </xf>
    <xf numFmtId="165" fontId="5" fillId="0" borderId="18" xfId="1" applyNumberFormat="1" applyFont="1" applyFill="1" applyBorder="1" applyAlignment="1">
      <alignment horizontal="center" vertical="center" wrapText="1"/>
    </xf>
    <xf numFmtId="165" fontId="5" fillId="0" borderId="19"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165" fontId="7" fillId="0" borderId="19" xfId="1" applyNumberFormat="1" applyFont="1" applyBorder="1" applyAlignment="1">
      <alignment horizontal="center" vertical="center" wrapText="1"/>
    </xf>
    <xf numFmtId="164" fontId="5" fillId="0" borderId="17" xfId="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6"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4" fontId="7" fillId="0" borderId="20" xfId="1" applyNumberFormat="1" applyFont="1" applyBorder="1" applyAlignment="1">
      <alignment horizontal="center" vertical="center" wrapText="1"/>
    </xf>
    <xf numFmtId="164" fontId="7" fillId="0" borderId="21" xfId="1" applyNumberFormat="1" applyFont="1" applyBorder="1" applyAlignment="1">
      <alignment horizontal="center" vertical="center" wrapText="1"/>
    </xf>
    <xf numFmtId="49" fontId="7" fillId="0" borderId="50" xfId="1" applyNumberFormat="1" applyFont="1" applyFill="1" applyBorder="1" applyAlignment="1" applyProtection="1">
      <alignment horizontal="left" vertical="justify" wrapText="1"/>
      <protection locked="0"/>
    </xf>
    <xf numFmtId="49" fontId="7" fillId="0" borderId="51" xfId="1" applyNumberFormat="1" applyFont="1" applyFill="1" applyBorder="1" applyAlignment="1" applyProtection="1">
      <alignment horizontal="left" vertical="justify" wrapText="1"/>
      <protection locked="0"/>
    </xf>
    <xf numFmtId="49" fontId="7" fillId="0" borderId="43" xfId="1" applyNumberFormat="1" applyFont="1" applyFill="1" applyBorder="1" applyAlignment="1" applyProtection="1">
      <alignment horizontal="left" vertical="justify" wrapText="1"/>
      <protection locked="0"/>
    </xf>
    <xf numFmtId="0" fontId="5" fillId="0" borderId="36" xfId="1" applyFont="1" applyFill="1" applyBorder="1" applyAlignment="1">
      <alignment horizontal="left" vertical="center" wrapText="1"/>
    </xf>
    <xf numFmtId="164" fontId="5" fillId="0" borderId="12" xfId="1" applyNumberFormat="1" applyFont="1" applyBorder="1" applyAlignment="1">
      <alignment horizontal="center" vertical="center" wrapText="1"/>
    </xf>
    <xf numFmtId="164" fontId="5" fillId="0" borderId="13" xfId="1" applyNumberFormat="1" applyFont="1" applyBorder="1" applyAlignment="1">
      <alignment horizontal="center" vertical="center" wrapText="1"/>
    </xf>
    <xf numFmtId="164" fontId="5" fillId="0" borderId="22"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0" borderId="22" xfId="1" applyNumberFormat="1" applyFont="1" applyBorder="1" applyAlignment="1">
      <alignment horizontal="center" vertical="center" wrapText="1"/>
    </xf>
    <xf numFmtId="164" fontId="7" fillId="0" borderId="12" xfId="1" applyNumberFormat="1" applyFont="1" applyBorder="1" applyAlignment="1">
      <alignment horizontal="center" vertical="center"/>
    </xf>
    <xf numFmtId="164" fontId="7" fillId="0" borderId="22" xfId="1" applyNumberFormat="1" applyFont="1" applyBorder="1" applyAlignment="1">
      <alignment horizontal="center" vertical="center"/>
    </xf>
    <xf numFmtId="0" fontId="1" fillId="0" borderId="13" xfId="0" applyFont="1" applyBorder="1" applyAlignment="1">
      <alignment horizontal="center" vertical="center" wrapText="1"/>
    </xf>
    <xf numFmtId="49" fontId="15" fillId="4" borderId="29" xfId="12" applyNumberFormat="1" applyFont="1" applyFill="1" applyBorder="1" applyAlignment="1">
      <alignment horizontal="center" vertical="center" wrapText="1"/>
    </xf>
    <xf numFmtId="49" fontId="15" fillId="4" borderId="33" xfId="12" applyNumberFormat="1" applyFont="1" applyFill="1" applyBorder="1" applyAlignment="1">
      <alignment horizontal="center" vertical="center" wrapText="1"/>
    </xf>
    <xf numFmtId="49" fontId="7" fillId="0" borderId="37"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justify" wrapText="1"/>
    </xf>
    <xf numFmtId="164" fontId="7" fillId="2" borderId="13" xfId="1" applyNumberFormat="1" applyFont="1" applyFill="1" applyBorder="1" applyAlignment="1">
      <alignment horizontal="center" vertical="center"/>
    </xf>
    <xf numFmtId="0" fontId="12" fillId="4" borderId="5"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31" xfId="1" applyNumberFormat="1" applyFont="1" applyFill="1" applyBorder="1" applyAlignment="1">
      <alignment horizontal="center" vertical="center" wrapText="1"/>
    </xf>
    <xf numFmtId="0" fontId="12" fillId="4" borderId="30" xfId="1" applyNumberFormat="1" applyFont="1" applyFill="1" applyBorder="1" applyAlignment="1">
      <alignment horizontal="center" vertical="center" wrapText="1"/>
    </xf>
    <xf numFmtId="0" fontId="12" fillId="4" borderId="28" xfId="1" applyNumberFormat="1" applyFont="1" applyFill="1" applyBorder="1" applyAlignment="1">
      <alignment horizontal="center" vertical="center" wrapText="1"/>
    </xf>
    <xf numFmtId="164" fontId="7" fillId="0" borderId="16" xfId="1" applyNumberFormat="1" applyFont="1" applyBorder="1" applyAlignment="1">
      <alignment horizontal="center" vertical="center"/>
    </xf>
    <xf numFmtId="164" fontId="5" fillId="0" borderId="20" xfId="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0" fontId="5" fillId="2" borderId="36" xfId="1" applyFont="1" applyFill="1" applyBorder="1" applyAlignment="1">
      <alignment horizontal="left" vertical="center" wrapText="1"/>
    </xf>
    <xf numFmtId="0" fontId="7" fillId="0" borderId="38" xfId="1" applyFont="1" applyFill="1" applyBorder="1" applyAlignment="1">
      <alignment horizontal="left" vertical="center" wrapText="1"/>
    </xf>
    <xf numFmtId="0" fontId="17" fillId="4" borderId="27" xfId="1" applyNumberFormat="1" applyFont="1" applyFill="1" applyBorder="1" applyAlignment="1">
      <alignment horizontal="center" vertical="center" textRotation="90" wrapText="1"/>
    </xf>
    <xf numFmtId="0" fontId="17" fillId="4" borderId="3" xfId="1" applyNumberFormat="1" applyFont="1" applyFill="1" applyBorder="1" applyAlignment="1">
      <alignment horizontal="center" vertical="center" textRotation="90" wrapText="1"/>
    </xf>
    <xf numFmtId="0" fontId="12" fillId="4" borderId="29" xfId="1" applyNumberFormat="1" applyFont="1" applyFill="1" applyBorder="1" applyAlignment="1">
      <alignment horizontal="center" vertical="center" wrapText="1"/>
    </xf>
    <xf numFmtId="0" fontId="12" fillId="4" borderId="26"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9" xfId="1" applyNumberFormat="1" applyFont="1" applyFill="1" applyBorder="1" applyAlignment="1">
      <alignment horizontal="center" vertical="center" wrapText="1"/>
    </xf>
    <xf numFmtId="0" fontId="12" fillId="4" borderId="34" xfId="1" applyFont="1" applyFill="1" applyBorder="1" applyAlignment="1">
      <alignment horizontal="left" vertical="center"/>
    </xf>
    <xf numFmtId="0" fontId="12" fillId="4" borderId="2" xfId="1" applyFont="1" applyFill="1" applyBorder="1" applyAlignment="1">
      <alignment horizontal="left" vertical="center"/>
    </xf>
    <xf numFmtId="0" fontId="12" fillId="4" borderId="1" xfId="1" applyFont="1" applyFill="1" applyBorder="1" applyAlignment="1">
      <alignment horizontal="left" vertical="center"/>
    </xf>
    <xf numFmtId="165" fontId="5" fillId="0" borderId="12" xfId="1" applyNumberFormat="1" applyFont="1" applyFill="1" applyBorder="1" applyAlignment="1">
      <alignment horizontal="center" vertical="center" wrapText="1"/>
    </xf>
    <xf numFmtId="164" fontId="5" fillId="0" borderId="17" xfId="1" applyNumberFormat="1" applyFont="1" applyBorder="1" applyAlignment="1">
      <alignment horizontal="center" vertical="center" wrapText="1"/>
    </xf>
    <xf numFmtId="164" fontId="5" fillId="0" borderId="19" xfId="1" applyNumberFormat="1" applyFont="1" applyBorder="1" applyAlignment="1">
      <alignment horizontal="center" vertical="center" wrapText="1"/>
    </xf>
    <xf numFmtId="165" fontId="7" fillId="0" borderId="19" xfId="1" applyNumberFormat="1" applyFont="1" applyFill="1" applyBorder="1" applyAlignment="1">
      <alignment horizontal="center" vertical="center" wrapText="1"/>
    </xf>
    <xf numFmtId="0" fontId="7" fillId="0" borderId="40" xfId="1" applyFont="1" applyFill="1" applyBorder="1" applyAlignment="1">
      <alignment horizontal="left" vertical="center" wrapText="1"/>
    </xf>
    <xf numFmtId="0" fontId="7" fillId="0" borderId="42" xfId="1" applyFont="1" applyFill="1" applyBorder="1" applyAlignment="1">
      <alignment horizontal="left" vertical="center" wrapText="1"/>
    </xf>
    <xf numFmtId="165" fontId="14" fillId="0" borderId="12" xfId="1" applyNumberFormat="1" applyFont="1" applyFill="1" applyBorder="1" applyAlignment="1">
      <alignment horizontal="center" vertical="center" wrapText="1"/>
    </xf>
    <xf numFmtId="165" fontId="14" fillId="0"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164" fontId="7" fillId="2" borderId="12" xfId="1" applyNumberFormat="1" applyFont="1" applyFill="1" applyBorder="1" applyAlignment="1">
      <alignment horizontal="center" vertical="center"/>
    </xf>
    <xf numFmtId="164" fontId="7" fillId="2" borderId="17" xfId="1" applyNumberFormat="1" applyFont="1" applyFill="1" applyBorder="1" applyAlignment="1">
      <alignment horizontal="center" vertical="center" wrapText="1"/>
    </xf>
    <xf numFmtId="164" fontId="7" fillId="2" borderId="18" xfId="1" applyNumberFormat="1" applyFont="1" applyFill="1" applyBorder="1" applyAlignment="1">
      <alignment horizontal="center" vertical="center" wrapText="1"/>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49" fontId="7" fillId="0" borderId="41" xfId="1" applyNumberFormat="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4" fontId="7" fillId="0" borderId="17"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0" fontId="7" fillId="0" borderId="0" xfId="1" applyFont="1" applyFill="1" applyBorder="1" applyAlignment="1">
      <alignment horizontal="left" vertical="center" wrapText="1"/>
    </xf>
    <xf numFmtId="165" fontId="7" fillId="0" borderId="18" xfId="1" applyNumberFormat="1" applyFont="1" applyFill="1" applyBorder="1" applyAlignment="1">
      <alignment horizontal="center" vertical="center" wrapText="1"/>
    </xf>
    <xf numFmtId="164" fontId="7" fillId="0" borderId="20" xfId="1" quotePrefix="1" applyNumberFormat="1" applyFont="1" applyBorder="1" applyAlignment="1">
      <alignment horizontal="center" vertical="center"/>
    </xf>
    <xf numFmtId="164" fontId="7" fillId="0" borderId="21" xfId="1" quotePrefix="1" applyNumberFormat="1" applyFont="1" applyBorder="1" applyAlignment="1">
      <alignment horizontal="center" vertical="center"/>
    </xf>
    <xf numFmtId="0" fontId="12" fillId="3" borderId="47" xfId="1" applyFont="1" applyFill="1" applyBorder="1" applyAlignment="1">
      <alignment horizontal="left" vertical="center" wrapText="1"/>
    </xf>
    <xf numFmtId="0" fontId="12" fillId="3" borderId="0" xfId="1" applyFont="1" applyFill="1" applyBorder="1" applyAlignment="1">
      <alignment horizontal="left" vertical="center" wrapText="1"/>
    </xf>
    <xf numFmtId="0" fontId="12" fillId="3" borderId="23" xfId="1" applyFont="1" applyFill="1" applyBorder="1" applyAlignment="1">
      <alignment horizontal="left" vertical="center" wrapText="1"/>
    </xf>
    <xf numFmtId="164" fontId="7" fillId="0" borderId="13" xfId="1" applyNumberFormat="1" applyFont="1" applyFill="1" applyBorder="1" applyAlignment="1">
      <alignment horizontal="center"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ru/Downloads/WEB_2020_August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ru/Downloads/WEB_2020_Septem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102">
          <cell r="G102">
            <v>1032570.5</v>
          </cell>
          <cell r="H102">
            <v>48349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102">
          <cell r="I102">
            <v>853349.39720347</v>
          </cell>
          <cell r="J102">
            <v>39450.221400000002</v>
          </cell>
          <cell r="K102">
            <v>5737433.9333484713</v>
          </cell>
          <cell r="L102">
            <v>260517.79933999997</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109"/>
  <sheetViews>
    <sheetView tabSelected="1" zoomScale="40" zoomScaleNormal="40" zoomScaleSheetLayoutView="55" zoomScalePageLayoutView="40" workbookViewId="0">
      <selection activeCell="A7" sqref="A7:F7"/>
    </sheetView>
  </sheetViews>
  <sheetFormatPr defaultColWidth="9.23046875" defaultRowHeight="16"/>
  <cols>
    <col min="1" max="1" width="77.765625" style="3" customWidth="1"/>
    <col min="2" max="2" width="12.84375" style="4" bestFit="1" customWidth="1"/>
    <col min="3" max="3" width="12.765625" style="2" bestFit="1" customWidth="1"/>
    <col min="4" max="4" width="10.4609375" style="3" customWidth="1"/>
    <col min="5" max="5" width="13.07421875" style="3" bestFit="1" customWidth="1"/>
    <col min="6" max="6" width="9.84375" style="3" customWidth="1"/>
    <col min="7" max="7" width="17.765625" style="1" customWidth="1"/>
    <col min="8" max="8" width="14.07421875" style="3" customWidth="1"/>
    <col min="9" max="9" width="15.4609375" style="3" customWidth="1"/>
    <col min="10" max="10" width="13.07421875" style="3" customWidth="1"/>
    <col min="11" max="11" width="17" style="3" customWidth="1"/>
    <col min="12" max="12" width="15.4609375" style="3" customWidth="1"/>
    <col min="13" max="13" width="114.765625" style="12" customWidth="1"/>
    <col min="14" max="14" width="20.765625" style="1" customWidth="1"/>
    <col min="15" max="17" width="9.23046875" style="1"/>
    <col min="18" max="18" width="9.23046875" style="1" customWidth="1"/>
    <col min="19" max="16384" width="9.23046875" style="1"/>
  </cols>
  <sheetData>
    <row r="1" spans="1:14" ht="6" customHeight="1">
      <c r="A1" s="1"/>
      <c r="B1" s="2"/>
      <c r="D1" s="1"/>
      <c r="E1" s="1"/>
      <c r="F1" s="1"/>
      <c r="H1" s="1"/>
      <c r="I1" s="1"/>
      <c r="J1" s="1"/>
      <c r="K1" s="1"/>
      <c r="L1" s="1"/>
    </row>
    <row r="2" spans="1:14" s="5" customFormat="1" ht="29.5" customHeight="1">
      <c r="A2" s="13" t="s">
        <v>99</v>
      </c>
      <c r="B2" s="14"/>
      <c r="C2" s="14"/>
      <c r="D2" s="13"/>
      <c r="E2" s="13"/>
      <c r="F2" s="13"/>
      <c r="G2" s="13"/>
      <c r="H2" s="13"/>
      <c r="I2" s="13"/>
      <c r="J2" s="13"/>
      <c r="K2" s="15"/>
      <c r="L2" s="13"/>
      <c r="M2" s="32"/>
    </row>
    <row r="3" spans="1:14" ht="27" customHeight="1">
      <c r="A3" s="16" t="s">
        <v>177</v>
      </c>
      <c r="B3" s="17"/>
      <c r="C3" s="17"/>
      <c r="D3" s="18"/>
      <c r="E3" s="18"/>
      <c r="F3" s="18"/>
      <c r="G3" s="18"/>
      <c r="H3" s="18"/>
      <c r="I3" s="18"/>
      <c r="J3" s="18"/>
      <c r="K3" s="18"/>
      <c r="L3" s="18"/>
    </row>
    <row r="4" spans="1:14" s="5" customFormat="1" ht="54.65" customHeight="1">
      <c r="A4" s="234" t="s">
        <v>9</v>
      </c>
      <c r="B4" s="231" t="s">
        <v>170</v>
      </c>
      <c r="C4" s="231" t="s">
        <v>28</v>
      </c>
      <c r="D4" s="225" t="s">
        <v>27</v>
      </c>
      <c r="E4" s="225"/>
      <c r="F4" s="233"/>
      <c r="G4" s="224" t="s">
        <v>133</v>
      </c>
      <c r="H4" s="225"/>
      <c r="I4" s="224" t="s">
        <v>134</v>
      </c>
      <c r="J4" s="225"/>
      <c r="K4" s="223" t="s">
        <v>53</v>
      </c>
      <c r="L4" s="224"/>
      <c r="M4" s="216" t="s">
        <v>29</v>
      </c>
    </row>
    <row r="5" spans="1:14" s="5" customFormat="1" ht="33.75" customHeight="1" thickBot="1">
      <c r="A5" s="235"/>
      <c r="B5" s="232"/>
      <c r="C5" s="232"/>
      <c r="D5" s="236" t="s">
        <v>19</v>
      </c>
      <c r="E5" s="237"/>
      <c r="F5" s="238"/>
      <c r="G5" s="221" t="s">
        <v>6</v>
      </c>
      <c r="H5" s="222"/>
      <c r="I5" s="221" t="s">
        <v>6</v>
      </c>
      <c r="J5" s="222"/>
      <c r="K5" s="221" t="s">
        <v>6</v>
      </c>
      <c r="L5" s="222"/>
      <c r="M5" s="217"/>
    </row>
    <row r="6" spans="1:14" ht="28.5" customHeight="1" thickBot="1">
      <c r="A6" s="51"/>
      <c r="B6" s="19"/>
      <c r="C6" s="19"/>
      <c r="D6" s="20" t="s">
        <v>10</v>
      </c>
      <c r="E6" s="20" t="s">
        <v>11</v>
      </c>
      <c r="F6" s="20" t="s">
        <v>12</v>
      </c>
      <c r="G6" s="20" t="s">
        <v>11</v>
      </c>
      <c r="H6" s="20" t="s">
        <v>12</v>
      </c>
      <c r="I6" s="20" t="s">
        <v>11</v>
      </c>
      <c r="J6" s="20" t="s">
        <v>12</v>
      </c>
      <c r="K6" s="20" t="s">
        <v>11</v>
      </c>
      <c r="L6" s="20" t="s">
        <v>12</v>
      </c>
      <c r="M6" s="52"/>
    </row>
    <row r="7" spans="1:14" s="6" customFormat="1" ht="30" customHeight="1" thickBot="1">
      <c r="A7" s="239" t="s">
        <v>23</v>
      </c>
      <c r="B7" s="240"/>
      <c r="C7" s="240"/>
      <c r="D7" s="240"/>
      <c r="E7" s="240"/>
      <c r="F7" s="241"/>
      <c r="G7" s="21">
        <f t="shared" ref="G7:L7" si="0">SUM(G8:G36)</f>
        <v>475680</v>
      </c>
      <c r="H7" s="21">
        <f t="shared" si="0"/>
        <v>5000</v>
      </c>
      <c r="I7" s="21">
        <f t="shared" si="0"/>
        <v>483161.45454000001</v>
      </c>
      <c r="J7" s="21">
        <f t="shared" si="0"/>
        <v>6170.4897099999998</v>
      </c>
      <c r="K7" s="21">
        <f t="shared" si="0"/>
        <v>3039855.0314100003</v>
      </c>
      <c r="L7" s="21">
        <f t="shared" si="0"/>
        <v>44617.556329999999</v>
      </c>
      <c r="M7" s="53"/>
      <c r="N7" s="37"/>
    </row>
    <row r="8" spans="1:14" s="2" customFormat="1" ht="100.5" customHeight="1">
      <c r="A8" s="229" t="s">
        <v>50</v>
      </c>
      <c r="B8" s="242">
        <v>41431</v>
      </c>
      <c r="C8" s="248">
        <v>43830</v>
      </c>
      <c r="D8" s="80" t="s">
        <v>0</v>
      </c>
      <c r="E8" s="80">
        <v>24500</v>
      </c>
      <c r="F8" s="250"/>
      <c r="G8" s="208">
        <v>925</v>
      </c>
      <c r="H8" s="211"/>
      <c r="I8" s="213">
        <v>1358.0915500000001</v>
      </c>
      <c r="J8" s="251"/>
      <c r="K8" s="213">
        <f>163627.86457+I8</f>
        <v>164985.95612000002</v>
      </c>
      <c r="L8" s="213"/>
      <c r="M8" s="218" t="s">
        <v>173</v>
      </c>
    </row>
    <row r="9" spans="1:14" s="2" customFormat="1" ht="75.75" customHeight="1">
      <c r="A9" s="183"/>
      <c r="B9" s="171"/>
      <c r="C9" s="249"/>
      <c r="D9" s="81" t="s">
        <v>1</v>
      </c>
      <c r="E9" s="81">
        <v>38000</v>
      </c>
      <c r="F9" s="169"/>
      <c r="G9" s="209"/>
      <c r="H9" s="185"/>
      <c r="I9" s="189"/>
      <c r="J9" s="220"/>
      <c r="K9" s="189"/>
      <c r="L9" s="189"/>
      <c r="M9" s="182"/>
    </row>
    <row r="10" spans="1:14" s="82" customFormat="1" ht="90" customHeight="1">
      <c r="A10" s="183" t="s">
        <v>43</v>
      </c>
      <c r="B10" s="171">
        <v>42410</v>
      </c>
      <c r="C10" s="171">
        <v>45291</v>
      </c>
      <c r="D10" s="81" t="s">
        <v>1</v>
      </c>
      <c r="E10" s="81">
        <v>140000</v>
      </c>
      <c r="F10" s="81"/>
      <c r="G10" s="209">
        <v>59300</v>
      </c>
      <c r="H10" s="185"/>
      <c r="I10" s="189">
        <v>61503.739829999999</v>
      </c>
      <c r="J10" s="220"/>
      <c r="K10" s="189">
        <f>168216.49098+I10</f>
        <v>229720.23081000001</v>
      </c>
      <c r="L10" s="189"/>
      <c r="M10" s="182" t="s">
        <v>178</v>
      </c>
    </row>
    <row r="11" spans="1:14" s="82" customFormat="1" ht="81" customHeight="1">
      <c r="A11" s="183"/>
      <c r="B11" s="171"/>
      <c r="C11" s="171"/>
      <c r="D11" s="81" t="s">
        <v>4</v>
      </c>
      <c r="E11" s="81">
        <v>49450</v>
      </c>
      <c r="F11" s="81"/>
      <c r="G11" s="209"/>
      <c r="H11" s="185"/>
      <c r="I11" s="189"/>
      <c r="J11" s="220"/>
      <c r="K11" s="189"/>
      <c r="L11" s="189"/>
      <c r="M11" s="182"/>
    </row>
    <row r="12" spans="1:14" s="2" customFormat="1" ht="54" customHeight="1">
      <c r="A12" s="183" t="s">
        <v>52</v>
      </c>
      <c r="B12" s="171">
        <v>40115</v>
      </c>
      <c r="C12" s="171">
        <v>43737</v>
      </c>
      <c r="D12" s="81" t="s">
        <v>0</v>
      </c>
      <c r="E12" s="81">
        <v>75892</v>
      </c>
      <c r="F12" s="169"/>
      <c r="G12" s="209">
        <v>1500</v>
      </c>
      <c r="H12" s="185"/>
      <c r="I12" s="189">
        <v>1489.46657</v>
      </c>
      <c r="J12" s="189"/>
      <c r="K12" s="189">
        <v>391974.59989999997</v>
      </c>
      <c r="L12" s="189"/>
      <c r="M12" s="219" t="s">
        <v>148</v>
      </c>
    </row>
    <row r="13" spans="1:14" s="2" customFormat="1" ht="57" customHeight="1">
      <c r="A13" s="183"/>
      <c r="B13" s="171"/>
      <c r="C13" s="171"/>
      <c r="D13" s="81" t="s">
        <v>2</v>
      </c>
      <c r="E13" s="81">
        <v>140000</v>
      </c>
      <c r="F13" s="169"/>
      <c r="G13" s="209"/>
      <c r="H13" s="185"/>
      <c r="I13" s="189"/>
      <c r="J13" s="189"/>
      <c r="K13" s="189"/>
      <c r="L13" s="189"/>
      <c r="M13" s="219"/>
    </row>
    <row r="14" spans="1:14" s="82" customFormat="1" ht="36" customHeight="1">
      <c r="A14" s="166" t="s">
        <v>51</v>
      </c>
      <c r="B14" s="172" t="s">
        <v>64</v>
      </c>
      <c r="C14" s="172" t="s">
        <v>65</v>
      </c>
      <c r="D14" s="83" t="s">
        <v>4</v>
      </c>
      <c r="E14" s="83">
        <v>108190</v>
      </c>
      <c r="F14" s="197"/>
      <c r="G14" s="243">
        <v>41500</v>
      </c>
      <c r="H14" s="258"/>
      <c r="I14" s="254">
        <v>49310.783409999996</v>
      </c>
      <c r="J14" s="254"/>
      <c r="K14" s="254">
        <f>117939.54392+H14</f>
        <v>117939.54392</v>
      </c>
      <c r="L14" s="254"/>
      <c r="M14" s="256" t="s">
        <v>130</v>
      </c>
    </row>
    <row r="15" spans="1:14" s="82" customFormat="1" ht="36" customHeight="1">
      <c r="A15" s="167"/>
      <c r="B15" s="245"/>
      <c r="C15" s="245"/>
      <c r="D15" s="83" t="s">
        <v>1</v>
      </c>
      <c r="E15" s="83">
        <v>114000</v>
      </c>
      <c r="F15" s="199"/>
      <c r="G15" s="244"/>
      <c r="H15" s="259"/>
      <c r="I15" s="255"/>
      <c r="J15" s="255"/>
      <c r="K15" s="255"/>
      <c r="L15" s="255"/>
      <c r="M15" s="257"/>
    </row>
    <row r="16" spans="1:14" s="2" customFormat="1" ht="99.75" customHeight="1">
      <c r="A16" s="54" t="s">
        <v>20</v>
      </c>
      <c r="B16" s="46">
        <v>40163</v>
      </c>
      <c r="C16" s="22">
        <v>45101</v>
      </c>
      <c r="D16" s="81" t="s">
        <v>3</v>
      </c>
      <c r="E16" s="81">
        <v>22132000</v>
      </c>
      <c r="F16" s="81"/>
      <c r="G16" s="84">
        <v>3610</v>
      </c>
      <c r="H16" s="85"/>
      <c r="I16" s="160">
        <v>3608.1469900000002</v>
      </c>
      <c r="J16" s="160"/>
      <c r="K16" s="160">
        <f>396912.82844+I16</f>
        <v>400520.97542999999</v>
      </c>
      <c r="L16" s="160"/>
      <c r="M16" s="55" t="s">
        <v>149</v>
      </c>
    </row>
    <row r="17" spans="1:17" s="2" customFormat="1" ht="150.75" customHeight="1">
      <c r="A17" s="54" t="s">
        <v>35</v>
      </c>
      <c r="B17" s="46">
        <v>41040</v>
      </c>
      <c r="C17" s="46">
        <v>43797</v>
      </c>
      <c r="D17" s="81" t="s">
        <v>4</v>
      </c>
      <c r="E17" s="81">
        <v>200000</v>
      </c>
      <c r="F17" s="81">
        <v>20000</v>
      </c>
      <c r="G17" s="84">
        <v>37000</v>
      </c>
      <c r="H17" s="85">
        <v>5000</v>
      </c>
      <c r="I17" s="160">
        <v>49685.26238</v>
      </c>
      <c r="J17" s="160">
        <v>6170.4897099999998</v>
      </c>
      <c r="K17" s="160">
        <f>353684.85275+I17</f>
        <v>403370.11513000005</v>
      </c>
      <c r="L17" s="160">
        <f>38447.06662+J17</f>
        <v>44617.556329999999</v>
      </c>
      <c r="M17" s="55" t="s">
        <v>179</v>
      </c>
    </row>
    <row r="18" spans="1:17" s="82" customFormat="1" ht="30" customHeight="1">
      <c r="A18" s="246" t="s">
        <v>76</v>
      </c>
      <c r="B18" s="31" t="s">
        <v>96</v>
      </c>
      <c r="C18" s="31" t="s">
        <v>97</v>
      </c>
      <c r="D18" s="86" t="s">
        <v>4</v>
      </c>
      <c r="E18" s="86">
        <v>16000</v>
      </c>
      <c r="F18" s="86"/>
      <c r="G18" s="243">
        <v>14000</v>
      </c>
      <c r="H18" s="258"/>
      <c r="I18" s="254">
        <v>9997.9061500000007</v>
      </c>
      <c r="J18" s="254"/>
      <c r="K18" s="254">
        <f>59639.55053+I18</f>
        <v>69637.456680000003</v>
      </c>
      <c r="L18" s="254"/>
      <c r="M18" s="256" t="s">
        <v>163</v>
      </c>
    </row>
    <row r="19" spans="1:17" s="82" customFormat="1" ht="27.75" customHeight="1">
      <c r="A19" s="247"/>
      <c r="B19" s="31">
        <v>43382</v>
      </c>
      <c r="C19" s="31">
        <v>44539</v>
      </c>
      <c r="D19" s="86" t="s">
        <v>4</v>
      </c>
      <c r="E19" s="252">
        <v>250000</v>
      </c>
      <c r="F19" s="86"/>
      <c r="G19" s="244"/>
      <c r="H19" s="259"/>
      <c r="I19" s="255"/>
      <c r="J19" s="255"/>
      <c r="K19" s="255"/>
      <c r="L19" s="255"/>
      <c r="M19" s="257"/>
    </row>
    <row r="20" spans="1:17" s="82" customFormat="1" ht="47.25" customHeight="1">
      <c r="A20" s="56" t="s">
        <v>74</v>
      </c>
      <c r="B20" s="172">
        <v>42652</v>
      </c>
      <c r="C20" s="172">
        <v>44539</v>
      </c>
      <c r="D20" s="174" t="s">
        <v>4</v>
      </c>
      <c r="E20" s="253"/>
      <c r="F20" s="87"/>
      <c r="G20" s="84">
        <v>84750</v>
      </c>
      <c r="H20" s="84"/>
      <c r="I20" s="160">
        <v>87451.015530000004</v>
      </c>
      <c r="J20" s="160"/>
      <c r="K20" s="160">
        <f>215007.00447+I20</f>
        <v>302458.02</v>
      </c>
      <c r="L20" s="160"/>
      <c r="M20" s="55" t="s">
        <v>126</v>
      </c>
    </row>
    <row r="21" spans="1:17" s="82" customFormat="1" ht="47.25" customHeight="1">
      <c r="A21" s="56" t="s">
        <v>122</v>
      </c>
      <c r="B21" s="245"/>
      <c r="C21" s="245"/>
      <c r="D21" s="181"/>
      <c r="E21" s="179"/>
      <c r="F21" s="87"/>
      <c r="G21" s="84">
        <v>15995</v>
      </c>
      <c r="H21" s="88"/>
      <c r="I21" s="160">
        <v>18958.463540000001</v>
      </c>
      <c r="J21" s="160"/>
      <c r="K21" s="160">
        <f>32232.72593+I21</f>
        <v>51191.189469999998</v>
      </c>
      <c r="L21" s="160"/>
      <c r="M21" s="55" t="s">
        <v>127</v>
      </c>
    </row>
    <row r="22" spans="1:17" s="82" customFormat="1" ht="56.25" customHeight="1">
      <c r="A22" s="56" t="s">
        <v>73</v>
      </c>
      <c r="B22" s="30"/>
      <c r="C22" s="30"/>
      <c r="D22" s="87"/>
      <c r="E22" s="87"/>
      <c r="F22" s="87"/>
      <c r="G22" s="81"/>
      <c r="H22" s="87"/>
      <c r="I22" s="134"/>
      <c r="J22" s="134"/>
      <c r="K22" s="134"/>
      <c r="L22" s="134"/>
      <c r="M22" s="55" t="s">
        <v>123</v>
      </c>
    </row>
    <row r="23" spans="1:17" s="82" customFormat="1" ht="48" customHeight="1">
      <c r="A23" s="56" t="s">
        <v>70</v>
      </c>
      <c r="B23" s="30"/>
      <c r="C23" s="30"/>
      <c r="D23" s="87"/>
      <c r="E23" s="87"/>
      <c r="F23" s="87"/>
      <c r="G23" s="81"/>
      <c r="H23" s="87"/>
      <c r="I23" s="134"/>
      <c r="J23" s="134"/>
      <c r="K23" s="134"/>
      <c r="L23" s="134"/>
      <c r="M23" s="55" t="s">
        <v>159</v>
      </c>
    </row>
    <row r="24" spans="1:17" s="82" customFormat="1" ht="60" customHeight="1">
      <c r="A24" s="56" t="s">
        <v>75</v>
      </c>
      <c r="B24" s="47">
        <v>43378</v>
      </c>
      <c r="C24" s="47">
        <v>45657</v>
      </c>
      <c r="D24" s="83" t="s">
        <v>4</v>
      </c>
      <c r="E24" s="83">
        <v>255297</v>
      </c>
      <c r="F24" s="87"/>
      <c r="G24" s="84">
        <v>64855</v>
      </c>
      <c r="H24" s="88"/>
      <c r="I24" s="134">
        <v>62046.247300000003</v>
      </c>
      <c r="J24" s="134"/>
      <c r="K24" s="134">
        <v>187671.5889</v>
      </c>
      <c r="L24" s="134"/>
      <c r="M24" s="55" t="s">
        <v>150</v>
      </c>
    </row>
    <row r="25" spans="1:17" s="82" customFormat="1" ht="28.5" customHeight="1">
      <c r="A25" s="246" t="s">
        <v>77</v>
      </c>
      <c r="B25" s="46">
        <v>43704</v>
      </c>
      <c r="C25" s="191">
        <v>45291</v>
      </c>
      <c r="D25" s="197" t="s">
        <v>4</v>
      </c>
      <c r="E25" s="81">
        <v>370236</v>
      </c>
      <c r="F25" s="87"/>
      <c r="G25" s="243">
        <v>500</v>
      </c>
      <c r="H25" s="243"/>
      <c r="I25" s="254">
        <v>1535.2172599999999</v>
      </c>
      <c r="J25" s="254"/>
      <c r="K25" s="254">
        <f>223666.14134+I25</f>
        <v>225201.35860000001</v>
      </c>
      <c r="L25" s="254"/>
      <c r="M25" s="256" t="s">
        <v>132</v>
      </c>
    </row>
    <row r="26" spans="1:17" s="82" customFormat="1" ht="23.25" customHeight="1">
      <c r="A26" s="247"/>
      <c r="B26" s="46">
        <v>43749</v>
      </c>
      <c r="C26" s="193"/>
      <c r="D26" s="199"/>
      <c r="E26" s="81">
        <v>53400</v>
      </c>
      <c r="F26" s="87"/>
      <c r="G26" s="244"/>
      <c r="H26" s="244"/>
      <c r="I26" s="255"/>
      <c r="J26" s="255"/>
      <c r="K26" s="255"/>
      <c r="L26" s="255"/>
      <c r="M26" s="257"/>
    </row>
    <row r="27" spans="1:17" s="82" customFormat="1" ht="54.75" customHeight="1">
      <c r="A27" s="57" t="s">
        <v>135</v>
      </c>
      <c r="B27" s="46">
        <v>43796</v>
      </c>
      <c r="C27" s="47">
        <v>44926</v>
      </c>
      <c r="D27" s="81" t="s">
        <v>4</v>
      </c>
      <c r="E27" s="81">
        <v>255100</v>
      </c>
      <c r="F27" s="87"/>
      <c r="G27" s="84">
        <v>98895</v>
      </c>
      <c r="H27" s="88"/>
      <c r="I27" s="160">
        <v>109818.81142</v>
      </c>
      <c r="J27" s="160"/>
      <c r="K27" s="160">
        <f>I27</f>
        <v>109818.81142</v>
      </c>
      <c r="L27" s="160"/>
      <c r="M27" s="58" t="s">
        <v>164</v>
      </c>
    </row>
    <row r="28" spans="1:17" s="82" customFormat="1" ht="43.5" customHeight="1">
      <c r="A28" s="56" t="s">
        <v>129</v>
      </c>
      <c r="B28" s="30"/>
      <c r="C28" s="30"/>
      <c r="D28" s="87"/>
      <c r="E28" s="87"/>
      <c r="F28" s="87"/>
      <c r="G28" s="81"/>
      <c r="H28" s="87"/>
      <c r="I28" s="85"/>
      <c r="J28" s="85"/>
      <c r="K28" s="85"/>
      <c r="L28" s="85"/>
      <c r="M28" s="55" t="s">
        <v>151</v>
      </c>
    </row>
    <row r="29" spans="1:17" s="82" customFormat="1" ht="54" customHeight="1">
      <c r="A29" s="56" t="s">
        <v>72</v>
      </c>
      <c r="B29" s="30"/>
      <c r="C29" s="30"/>
      <c r="D29" s="87"/>
      <c r="E29" s="87"/>
      <c r="F29" s="87"/>
      <c r="G29" s="81"/>
      <c r="H29" s="87"/>
      <c r="I29" s="85"/>
      <c r="J29" s="85"/>
      <c r="K29" s="85"/>
      <c r="L29" s="85"/>
      <c r="M29" s="55" t="s">
        <v>180</v>
      </c>
    </row>
    <row r="30" spans="1:17" s="43" customFormat="1" ht="27.75" customHeight="1">
      <c r="A30" s="230" t="s">
        <v>13</v>
      </c>
      <c r="B30" s="168">
        <v>40990</v>
      </c>
      <c r="C30" s="168">
        <v>43646</v>
      </c>
      <c r="D30" s="83" t="s">
        <v>0</v>
      </c>
      <c r="E30" s="83">
        <v>25800</v>
      </c>
      <c r="F30" s="169"/>
      <c r="G30" s="169"/>
      <c r="H30" s="267"/>
      <c r="I30" s="185"/>
      <c r="J30" s="190"/>
      <c r="K30" s="185">
        <f>127772.76574+I30</f>
        <v>127772.76574</v>
      </c>
      <c r="L30" s="185"/>
      <c r="M30" s="182" t="s">
        <v>131</v>
      </c>
      <c r="N30" s="2"/>
      <c r="O30" s="2"/>
      <c r="P30" s="2"/>
      <c r="Q30" s="2"/>
    </row>
    <row r="31" spans="1:17" s="43" customFormat="1" ht="25.5" customHeight="1">
      <c r="A31" s="230"/>
      <c r="B31" s="168"/>
      <c r="C31" s="168"/>
      <c r="D31" s="83" t="s">
        <v>1</v>
      </c>
      <c r="E31" s="83">
        <v>30000</v>
      </c>
      <c r="F31" s="169"/>
      <c r="G31" s="169"/>
      <c r="H31" s="267"/>
      <c r="I31" s="185"/>
      <c r="J31" s="190"/>
      <c r="K31" s="185"/>
      <c r="L31" s="185"/>
      <c r="M31" s="182"/>
      <c r="N31" s="2"/>
      <c r="O31" s="2"/>
      <c r="P31" s="2"/>
      <c r="Q31" s="2"/>
    </row>
    <row r="32" spans="1:17" s="43" customFormat="1" ht="150.65" customHeight="1">
      <c r="A32" s="59" t="s">
        <v>60</v>
      </c>
      <c r="B32" s="47">
        <v>41829</v>
      </c>
      <c r="C32" s="39">
        <v>44561</v>
      </c>
      <c r="D32" s="83" t="s">
        <v>1</v>
      </c>
      <c r="E32" s="83">
        <v>75000</v>
      </c>
      <c r="F32" s="81"/>
      <c r="G32" s="84">
        <v>11200</v>
      </c>
      <c r="H32" s="85"/>
      <c r="I32" s="160">
        <v>5418.8805199999997</v>
      </c>
      <c r="J32" s="160"/>
      <c r="K32" s="160">
        <f>152232.98933+I32</f>
        <v>157651.86985000002</v>
      </c>
      <c r="L32" s="160"/>
      <c r="M32" s="55" t="s">
        <v>181</v>
      </c>
      <c r="N32" s="2"/>
      <c r="O32" s="2"/>
      <c r="P32" s="2"/>
      <c r="Q32" s="2"/>
    </row>
    <row r="33" spans="1:17" s="43" customFormat="1" ht="117" customHeight="1">
      <c r="A33" s="59" t="s">
        <v>45</v>
      </c>
      <c r="B33" s="47">
        <v>42457</v>
      </c>
      <c r="C33" s="47">
        <v>44561</v>
      </c>
      <c r="D33" s="83" t="s">
        <v>1</v>
      </c>
      <c r="E33" s="83">
        <v>40000</v>
      </c>
      <c r="F33" s="81"/>
      <c r="G33" s="84">
        <v>19000</v>
      </c>
      <c r="H33" s="85"/>
      <c r="I33" s="160">
        <v>4841</v>
      </c>
      <c r="J33" s="160"/>
      <c r="K33" s="160">
        <f>41363.34064+I33</f>
        <v>46204.340640000002</v>
      </c>
      <c r="L33" s="160"/>
      <c r="M33" s="55" t="s">
        <v>182</v>
      </c>
      <c r="N33" s="2"/>
      <c r="O33" s="2"/>
      <c r="P33" s="2"/>
      <c r="Q33" s="2"/>
    </row>
    <row r="34" spans="1:17" s="43" customFormat="1" ht="54.65" customHeight="1">
      <c r="A34" s="56" t="s">
        <v>71</v>
      </c>
      <c r="B34" s="47" t="s">
        <v>67</v>
      </c>
      <c r="C34" s="47" t="s">
        <v>114</v>
      </c>
      <c r="D34" s="83" t="s">
        <v>1</v>
      </c>
      <c r="E34" s="83">
        <v>80000</v>
      </c>
      <c r="F34" s="81"/>
      <c r="G34" s="84">
        <v>10800</v>
      </c>
      <c r="H34" s="85"/>
      <c r="I34" s="160">
        <v>15577.26748</v>
      </c>
      <c r="J34" s="160"/>
      <c r="K34" s="160">
        <f>34245.64722+I34</f>
        <v>49822.914700000001</v>
      </c>
      <c r="L34" s="160"/>
      <c r="M34" s="55" t="s">
        <v>128</v>
      </c>
      <c r="N34" s="2"/>
      <c r="O34" s="2"/>
      <c r="P34" s="2"/>
      <c r="Q34" s="2"/>
    </row>
    <row r="35" spans="1:17" s="43" customFormat="1" ht="60.65" customHeight="1">
      <c r="A35" s="60" t="s">
        <v>152</v>
      </c>
      <c r="B35" s="46">
        <v>42752</v>
      </c>
      <c r="C35" s="46">
        <v>44196</v>
      </c>
      <c r="D35" s="81" t="s">
        <v>41</v>
      </c>
      <c r="E35" s="81">
        <v>8000</v>
      </c>
      <c r="F35" s="81"/>
      <c r="G35" s="84">
        <v>11250</v>
      </c>
      <c r="H35" s="85"/>
      <c r="I35" s="160">
        <v>561.15461000000005</v>
      </c>
      <c r="J35" s="160"/>
      <c r="K35" s="160">
        <f>2066.76764+I35</f>
        <v>2627.9222500000001</v>
      </c>
      <c r="L35" s="160"/>
      <c r="M35" s="55" t="s">
        <v>183</v>
      </c>
      <c r="N35" s="2"/>
      <c r="O35" s="2"/>
      <c r="P35" s="2"/>
      <c r="Q35" s="2"/>
    </row>
    <row r="36" spans="1:17" s="43" customFormat="1" ht="51.65" customHeight="1" thickBot="1">
      <c r="A36" s="61" t="s">
        <v>42</v>
      </c>
      <c r="B36" s="44">
        <v>42734</v>
      </c>
      <c r="C36" s="44">
        <v>43830</v>
      </c>
      <c r="D36" s="89" t="s">
        <v>4</v>
      </c>
      <c r="E36" s="89">
        <v>6000</v>
      </c>
      <c r="F36" s="89"/>
      <c r="G36" s="90">
        <v>600</v>
      </c>
      <c r="H36" s="91"/>
      <c r="I36" s="135"/>
      <c r="J36" s="135"/>
      <c r="K36" s="135">
        <f>1285.37185+I36</f>
        <v>1285.37185</v>
      </c>
      <c r="L36" s="135"/>
      <c r="M36" s="58" t="s">
        <v>184</v>
      </c>
      <c r="N36" s="2"/>
      <c r="O36" s="2"/>
      <c r="P36" s="2"/>
      <c r="Q36" s="2"/>
    </row>
    <row r="37" spans="1:17" s="94" customFormat="1" ht="36" customHeight="1" thickBot="1">
      <c r="A37" s="186" t="s">
        <v>7</v>
      </c>
      <c r="B37" s="187"/>
      <c r="C37" s="187"/>
      <c r="D37" s="187"/>
      <c r="E37" s="187"/>
      <c r="F37" s="188"/>
      <c r="G37" s="92">
        <f t="shared" ref="G37:L37" si="1">SUM(G38:G55)</f>
        <v>152015.5</v>
      </c>
      <c r="H37" s="92">
        <f t="shared" si="1"/>
        <v>3935</v>
      </c>
      <c r="I37" s="92">
        <f t="shared" si="1"/>
        <v>109318.09838000001</v>
      </c>
      <c r="J37" s="92">
        <f t="shared" si="1"/>
        <v>5442.1592600000004</v>
      </c>
      <c r="K37" s="92">
        <f t="shared" si="1"/>
        <v>917759.7980500001</v>
      </c>
      <c r="L37" s="92">
        <f t="shared" si="1"/>
        <v>19749.73084</v>
      </c>
      <c r="M37" s="93"/>
    </row>
    <row r="38" spans="1:17" s="2" customFormat="1" ht="54.75" customHeight="1">
      <c r="A38" s="62" t="s">
        <v>21</v>
      </c>
      <c r="B38" s="48">
        <v>41869</v>
      </c>
      <c r="C38" s="48" t="s">
        <v>185</v>
      </c>
      <c r="D38" s="80" t="s">
        <v>1</v>
      </c>
      <c r="E38" s="80">
        <v>30000</v>
      </c>
      <c r="F38" s="80">
        <v>5000</v>
      </c>
      <c r="G38" s="95">
        <v>6615</v>
      </c>
      <c r="H38" s="96">
        <v>1385</v>
      </c>
      <c r="I38" s="136">
        <v>6237.8460100000002</v>
      </c>
      <c r="J38" s="158">
        <v>708.07087000000001</v>
      </c>
      <c r="K38" s="136">
        <f>52585.31347+I38</f>
        <v>58823.159480000002</v>
      </c>
      <c r="L38" s="136">
        <f>8136.79195+J38</f>
        <v>8844.8628200000003</v>
      </c>
      <c r="M38" s="63" t="s">
        <v>80</v>
      </c>
    </row>
    <row r="39" spans="1:17" s="2" customFormat="1" ht="57" customHeight="1">
      <c r="A39" s="60" t="s">
        <v>14</v>
      </c>
      <c r="B39" s="46">
        <v>40227</v>
      </c>
      <c r="C39" s="22">
        <v>44926</v>
      </c>
      <c r="D39" s="81" t="s">
        <v>4</v>
      </c>
      <c r="E39" s="81">
        <v>3000</v>
      </c>
      <c r="F39" s="97">
        <v>4000</v>
      </c>
      <c r="G39" s="98">
        <v>2000</v>
      </c>
      <c r="H39" s="97"/>
      <c r="I39" s="158">
        <v>2343.2366299999999</v>
      </c>
      <c r="J39" s="158">
        <v>959.24901999999997</v>
      </c>
      <c r="K39" s="158">
        <f>2401.7848+I39</f>
        <v>4745.0214299999998</v>
      </c>
      <c r="L39" s="158"/>
      <c r="M39" s="55" t="s">
        <v>81</v>
      </c>
    </row>
    <row r="40" spans="1:17" s="2" customFormat="1" ht="73.900000000000006" customHeight="1">
      <c r="A40" s="60" t="s">
        <v>36</v>
      </c>
      <c r="B40" s="46">
        <v>41621</v>
      </c>
      <c r="C40" s="46">
        <v>44926</v>
      </c>
      <c r="D40" s="81" t="s">
        <v>4</v>
      </c>
      <c r="E40" s="81">
        <v>20000</v>
      </c>
      <c r="F40" s="81">
        <v>2000</v>
      </c>
      <c r="G40" s="98">
        <v>700</v>
      </c>
      <c r="H40" s="97">
        <v>1300</v>
      </c>
      <c r="I40" s="158">
        <v>667.55598999999995</v>
      </c>
      <c r="J40" s="158">
        <v>1365.1095800000001</v>
      </c>
      <c r="K40" s="138">
        <f>7439.85874+I40</f>
        <v>8107.4147299999995</v>
      </c>
      <c r="L40" s="158">
        <f>6355.42307+J40</f>
        <v>7720.5326500000001</v>
      </c>
      <c r="M40" s="55" t="s">
        <v>115</v>
      </c>
    </row>
    <row r="41" spans="1:17" s="2" customFormat="1" ht="59.5" customHeight="1">
      <c r="A41" s="170" t="s">
        <v>61</v>
      </c>
      <c r="B41" s="171">
        <v>40350</v>
      </c>
      <c r="C41" s="171">
        <v>44030</v>
      </c>
      <c r="D41" s="81" t="s">
        <v>0</v>
      </c>
      <c r="E41" s="81">
        <f>57986+10639</f>
        <v>68625</v>
      </c>
      <c r="F41" s="169"/>
      <c r="G41" s="227">
        <v>22800</v>
      </c>
      <c r="H41" s="201"/>
      <c r="I41" s="226">
        <v>28701.47321</v>
      </c>
      <c r="J41" s="226"/>
      <c r="K41" s="262">
        <f>408545.01518+I41</f>
        <v>437246.48839000001</v>
      </c>
      <c r="L41" s="226"/>
      <c r="M41" s="182" t="s">
        <v>116</v>
      </c>
    </row>
    <row r="42" spans="1:17" s="2" customFormat="1" ht="104.25" customHeight="1">
      <c r="A42" s="170"/>
      <c r="B42" s="171"/>
      <c r="C42" s="171"/>
      <c r="D42" s="81" t="s">
        <v>1</v>
      </c>
      <c r="E42" s="81">
        <f>48886+73000+20000</f>
        <v>141886</v>
      </c>
      <c r="F42" s="169"/>
      <c r="G42" s="228"/>
      <c r="H42" s="201"/>
      <c r="I42" s="226"/>
      <c r="J42" s="226"/>
      <c r="K42" s="263"/>
      <c r="L42" s="226"/>
      <c r="M42" s="182"/>
    </row>
    <row r="43" spans="1:17" s="2" customFormat="1" ht="36.75" customHeight="1">
      <c r="A43" s="170" t="s">
        <v>15</v>
      </c>
      <c r="B43" s="171">
        <v>41222</v>
      </c>
      <c r="C43" s="171">
        <v>44196</v>
      </c>
      <c r="D43" s="81" t="s">
        <v>0</v>
      </c>
      <c r="E43" s="81">
        <v>19800</v>
      </c>
      <c r="F43" s="81"/>
      <c r="G43" s="200">
        <v>1370.5</v>
      </c>
      <c r="H43" s="201"/>
      <c r="I43" s="202">
        <v>1368.05864</v>
      </c>
      <c r="J43" s="202"/>
      <c r="K43" s="202">
        <f>79274.14018+I43</f>
        <v>80642.198820000005</v>
      </c>
      <c r="L43" s="202"/>
      <c r="M43" s="182" t="s">
        <v>95</v>
      </c>
    </row>
    <row r="44" spans="1:17" s="2" customFormat="1" ht="30" customHeight="1">
      <c r="A44" s="170"/>
      <c r="B44" s="171"/>
      <c r="C44" s="171"/>
      <c r="D44" s="81" t="s">
        <v>1</v>
      </c>
      <c r="E44" s="81">
        <v>9000</v>
      </c>
      <c r="F44" s="81"/>
      <c r="G44" s="200"/>
      <c r="H44" s="201"/>
      <c r="I44" s="203"/>
      <c r="J44" s="203"/>
      <c r="K44" s="203"/>
      <c r="L44" s="203"/>
      <c r="M44" s="182"/>
    </row>
    <row r="45" spans="1:17" s="2" customFormat="1" ht="51" customHeight="1">
      <c r="A45" s="64" t="s">
        <v>31</v>
      </c>
      <c r="B45" s="46">
        <v>42223</v>
      </c>
      <c r="C45" s="46">
        <v>44926</v>
      </c>
      <c r="D45" s="81" t="s">
        <v>1</v>
      </c>
      <c r="E45" s="81">
        <v>60000</v>
      </c>
      <c r="F45" s="81"/>
      <c r="G45" s="98">
        <v>10460</v>
      </c>
      <c r="H45" s="97"/>
      <c r="I45" s="158">
        <v>7110.3606300000001</v>
      </c>
      <c r="J45" s="158"/>
      <c r="K45" s="158">
        <f>46080.0495+I45</f>
        <v>53190.410130000004</v>
      </c>
      <c r="L45" s="158"/>
      <c r="M45" s="55" t="s">
        <v>82</v>
      </c>
    </row>
    <row r="46" spans="1:17" s="2" customFormat="1" ht="38.25" customHeight="1">
      <c r="A46" s="60" t="s">
        <v>32</v>
      </c>
      <c r="B46" s="46">
        <v>42136</v>
      </c>
      <c r="C46" s="46">
        <v>44328</v>
      </c>
      <c r="D46" s="81" t="s">
        <v>4</v>
      </c>
      <c r="E46" s="81">
        <v>4300</v>
      </c>
      <c r="F46" s="81">
        <v>1843</v>
      </c>
      <c r="G46" s="98">
        <v>420</v>
      </c>
      <c r="H46" s="97">
        <v>300</v>
      </c>
      <c r="I46" s="158"/>
      <c r="J46" s="158"/>
      <c r="K46" s="158">
        <f>967.42234+I46</f>
        <v>967.42233999999996</v>
      </c>
      <c r="L46" s="158"/>
      <c r="M46" s="55" t="s">
        <v>83</v>
      </c>
    </row>
    <row r="47" spans="1:17" s="43" customFormat="1" ht="50.15" customHeight="1">
      <c r="A47" s="64" t="s">
        <v>106</v>
      </c>
      <c r="B47" s="34">
        <v>43285</v>
      </c>
      <c r="C47" s="35" t="s">
        <v>114</v>
      </c>
      <c r="D47" s="99" t="s">
        <v>4</v>
      </c>
      <c r="E47" s="99">
        <v>2830</v>
      </c>
      <c r="F47" s="99">
        <v>1870</v>
      </c>
      <c r="G47" s="97">
        <v>3350</v>
      </c>
      <c r="H47" s="97">
        <v>650</v>
      </c>
      <c r="I47" s="158">
        <v>2268.9688099999998</v>
      </c>
      <c r="J47" s="158">
        <v>2092.87329</v>
      </c>
      <c r="K47" s="158">
        <f>I47</f>
        <v>2268.9688099999998</v>
      </c>
      <c r="L47" s="158">
        <f>J47</f>
        <v>2092.87329</v>
      </c>
      <c r="M47" s="55" t="s">
        <v>125</v>
      </c>
      <c r="N47" s="2"/>
      <c r="O47" s="2"/>
      <c r="P47" s="2"/>
      <c r="Q47" s="2"/>
    </row>
    <row r="48" spans="1:17" s="43" customFormat="1" ht="73.5" customHeight="1">
      <c r="A48" s="60" t="s">
        <v>39</v>
      </c>
      <c r="B48" s="46">
        <v>42411</v>
      </c>
      <c r="C48" s="46">
        <v>45291</v>
      </c>
      <c r="D48" s="81" t="s">
        <v>4</v>
      </c>
      <c r="E48" s="81">
        <v>100000</v>
      </c>
      <c r="F48" s="81"/>
      <c r="G48" s="98">
        <v>64000</v>
      </c>
      <c r="H48" s="97"/>
      <c r="I48" s="158">
        <v>44421.358339999999</v>
      </c>
      <c r="J48" s="158"/>
      <c r="K48" s="158">
        <f>179487.59099+I48</f>
        <v>223908.94933</v>
      </c>
      <c r="L48" s="158"/>
      <c r="M48" s="55" t="s">
        <v>84</v>
      </c>
      <c r="N48" s="2"/>
      <c r="O48" s="2"/>
      <c r="P48" s="2"/>
      <c r="Q48" s="2"/>
    </row>
    <row r="49" spans="1:17" s="43" customFormat="1" ht="76.5" customHeight="1">
      <c r="A49" s="60" t="s">
        <v>56</v>
      </c>
      <c r="B49" s="46">
        <v>42713</v>
      </c>
      <c r="C49" s="46">
        <v>44561</v>
      </c>
      <c r="D49" s="81" t="s">
        <v>4</v>
      </c>
      <c r="E49" s="81">
        <v>100000</v>
      </c>
      <c r="F49" s="81"/>
      <c r="G49" s="98"/>
      <c r="H49" s="97"/>
      <c r="I49" s="158"/>
      <c r="J49" s="158"/>
      <c r="K49" s="139">
        <f>I49</f>
        <v>0</v>
      </c>
      <c r="L49" s="158"/>
      <c r="M49" s="55" t="s">
        <v>117</v>
      </c>
      <c r="N49" s="2"/>
      <c r="O49" s="2"/>
      <c r="P49" s="2"/>
      <c r="Q49" s="2"/>
    </row>
    <row r="50" spans="1:17" s="43" customFormat="1" ht="78.650000000000006" customHeight="1">
      <c r="A50" s="65" t="s">
        <v>138</v>
      </c>
      <c r="B50" s="34">
        <v>43805</v>
      </c>
      <c r="C50" s="34">
        <v>45291</v>
      </c>
      <c r="D50" s="99" t="s">
        <v>4</v>
      </c>
      <c r="E50" s="99">
        <v>13550</v>
      </c>
      <c r="F50" s="99"/>
      <c r="G50" s="98"/>
      <c r="H50" s="98"/>
      <c r="I50" s="140">
        <v>83.565349999999995</v>
      </c>
      <c r="J50" s="140"/>
      <c r="K50" s="163">
        <f t="shared" ref="K50:K52" si="2">I50</f>
        <v>83.565349999999995</v>
      </c>
      <c r="L50" s="140"/>
      <c r="M50" s="66" t="s">
        <v>142</v>
      </c>
      <c r="N50" s="2"/>
      <c r="O50" s="2"/>
      <c r="P50" s="2"/>
      <c r="Q50" s="2"/>
    </row>
    <row r="51" spans="1:17" s="43" customFormat="1" ht="49.5" customHeight="1">
      <c r="A51" s="65" t="s">
        <v>139</v>
      </c>
      <c r="B51" s="34">
        <v>43798</v>
      </c>
      <c r="C51" s="34">
        <v>45280</v>
      </c>
      <c r="D51" s="99" t="s">
        <v>4</v>
      </c>
      <c r="E51" s="99">
        <v>17000</v>
      </c>
      <c r="F51" s="99"/>
      <c r="G51" s="98">
        <v>3500</v>
      </c>
      <c r="H51" s="98"/>
      <c r="I51" s="140">
        <v>13598.474319999999</v>
      </c>
      <c r="J51" s="140"/>
      <c r="K51" s="140">
        <f t="shared" si="2"/>
        <v>13598.474319999999</v>
      </c>
      <c r="L51" s="140"/>
      <c r="M51" s="66" t="s">
        <v>140</v>
      </c>
      <c r="N51" s="2"/>
      <c r="O51" s="2"/>
      <c r="P51" s="2"/>
      <c r="Q51" s="2"/>
    </row>
    <row r="52" spans="1:17" s="43" customFormat="1" ht="39" customHeight="1">
      <c r="A52" s="67" t="s">
        <v>160</v>
      </c>
      <c r="B52" s="41">
        <v>44025</v>
      </c>
      <c r="C52" s="41">
        <v>45291</v>
      </c>
      <c r="D52" s="97" t="s">
        <v>4</v>
      </c>
      <c r="E52" s="97">
        <v>5000</v>
      </c>
      <c r="F52" s="98"/>
      <c r="G52" s="98">
        <v>9400</v>
      </c>
      <c r="H52" s="98"/>
      <c r="I52" s="140">
        <v>1708.4360799999999</v>
      </c>
      <c r="J52" s="140"/>
      <c r="K52" s="140">
        <f t="shared" si="2"/>
        <v>1708.4360799999999</v>
      </c>
      <c r="L52" s="140"/>
      <c r="M52" s="66" t="s">
        <v>141</v>
      </c>
      <c r="N52" s="2"/>
      <c r="O52" s="2"/>
      <c r="P52" s="2"/>
      <c r="Q52" s="2"/>
    </row>
    <row r="53" spans="1:17" s="43" customFormat="1" ht="99.75" customHeight="1">
      <c r="A53" s="64" t="s">
        <v>119</v>
      </c>
      <c r="B53" s="46">
        <v>41884</v>
      </c>
      <c r="C53" s="46">
        <v>44561</v>
      </c>
      <c r="D53" s="81" t="s">
        <v>4</v>
      </c>
      <c r="E53" s="81">
        <v>13200</v>
      </c>
      <c r="F53" s="81"/>
      <c r="G53" s="98"/>
      <c r="H53" s="98"/>
      <c r="I53" s="137"/>
      <c r="J53" s="141"/>
      <c r="K53" s="137">
        <f>30687.92141+I53</f>
        <v>30687.921409999999</v>
      </c>
      <c r="L53" s="137"/>
      <c r="M53" s="66" t="s">
        <v>120</v>
      </c>
      <c r="N53" s="2"/>
      <c r="O53" s="2"/>
      <c r="P53" s="2"/>
      <c r="Q53" s="2"/>
    </row>
    <row r="54" spans="1:17" s="43" customFormat="1" ht="55.9" customHeight="1">
      <c r="A54" s="60" t="s">
        <v>107</v>
      </c>
      <c r="B54" s="34">
        <v>43035</v>
      </c>
      <c r="C54" s="34">
        <v>44925</v>
      </c>
      <c r="D54" s="99" t="s">
        <v>4</v>
      </c>
      <c r="E54" s="99">
        <v>30000</v>
      </c>
      <c r="F54" s="99">
        <v>2000</v>
      </c>
      <c r="G54" s="98">
        <v>400</v>
      </c>
      <c r="H54" s="97">
        <v>300</v>
      </c>
      <c r="I54" s="158">
        <v>808.76436999999999</v>
      </c>
      <c r="J54" s="158">
        <v>316.85649999999998</v>
      </c>
      <c r="K54" s="158">
        <f>477.03306+I54</f>
        <v>1285.7974300000001</v>
      </c>
      <c r="L54" s="158">
        <f>774.60558+J54</f>
        <v>1091.46208</v>
      </c>
      <c r="M54" s="55" t="s">
        <v>121</v>
      </c>
      <c r="N54" s="2"/>
      <c r="O54" s="2"/>
      <c r="P54" s="2"/>
      <c r="Q54" s="2"/>
    </row>
    <row r="55" spans="1:17" s="43" customFormat="1" ht="72" customHeight="1" thickBot="1">
      <c r="A55" s="68" t="s">
        <v>108</v>
      </c>
      <c r="B55" s="42">
        <v>27.112017999999999</v>
      </c>
      <c r="C55" s="42">
        <v>27.112020999999999</v>
      </c>
      <c r="D55" s="100" t="s">
        <v>4</v>
      </c>
      <c r="E55" s="100">
        <v>15000</v>
      </c>
      <c r="F55" s="100"/>
      <c r="G55" s="101">
        <v>27000</v>
      </c>
      <c r="H55" s="102"/>
      <c r="I55" s="142"/>
      <c r="J55" s="142"/>
      <c r="K55" s="158">
        <f>495.57+I55</f>
        <v>495.57</v>
      </c>
      <c r="L55" s="142"/>
      <c r="M55" s="69" t="s">
        <v>186</v>
      </c>
      <c r="N55" s="2"/>
      <c r="O55" s="2"/>
      <c r="P55" s="2"/>
      <c r="Q55" s="2"/>
    </row>
    <row r="56" spans="1:17" s="94" customFormat="1" ht="29.25" customHeight="1" thickBot="1">
      <c r="A56" s="264" t="s">
        <v>8</v>
      </c>
      <c r="B56" s="265"/>
      <c r="C56" s="265"/>
      <c r="D56" s="265"/>
      <c r="E56" s="265"/>
      <c r="F56" s="266"/>
      <c r="G56" s="103">
        <f>SUM(G57:G65)</f>
        <v>121547</v>
      </c>
      <c r="H56" s="103">
        <f>SUM(H57:H65)</f>
        <v>19450</v>
      </c>
      <c r="I56" s="103">
        <f>SUM(I57:I65)</f>
        <v>132872.45350999999</v>
      </c>
      <c r="J56" s="103">
        <f t="shared" ref="J56:L56" si="3">SUM(J57:J65)</f>
        <v>6376.1709500000006</v>
      </c>
      <c r="K56" s="103">
        <f t="shared" si="3"/>
        <v>1036563.7982340001</v>
      </c>
      <c r="L56" s="103">
        <f t="shared" si="3"/>
        <v>117002.09672</v>
      </c>
      <c r="M56" s="104"/>
    </row>
    <row r="57" spans="1:17" s="2" customFormat="1" ht="43" customHeight="1">
      <c r="A57" s="62" t="s">
        <v>57</v>
      </c>
      <c r="B57" s="48">
        <v>39626</v>
      </c>
      <c r="C57" s="48">
        <v>43983</v>
      </c>
      <c r="D57" s="80" t="s">
        <v>4</v>
      </c>
      <c r="E57" s="80">
        <v>3700</v>
      </c>
      <c r="F57" s="80">
        <v>1814</v>
      </c>
      <c r="G57" s="105">
        <v>800</v>
      </c>
      <c r="H57" s="106"/>
      <c r="I57" s="106">
        <v>304.50198999999998</v>
      </c>
      <c r="J57" s="107"/>
      <c r="K57" s="106">
        <f>9620.780944+I57</f>
        <v>9925.2829340000008</v>
      </c>
      <c r="L57" s="106">
        <f>3649.68102+J57</f>
        <v>3649.68102</v>
      </c>
      <c r="M57" s="63" t="s">
        <v>187</v>
      </c>
    </row>
    <row r="58" spans="1:17" s="2" customFormat="1" ht="200.25" customHeight="1">
      <c r="A58" s="184" t="s">
        <v>47</v>
      </c>
      <c r="B58" s="171">
        <v>40673</v>
      </c>
      <c r="C58" s="171">
        <v>44284</v>
      </c>
      <c r="D58" s="81" t="s">
        <v>0</v>
      </c>
      <c r="E58" s="81">
        <f>51343+25047+64205+23005</f>
        <v>163600</v>
      </c>
      <c r="F58" s="169"/>
      <c r="G58" s="209">
        <v>105000</v>
      </c>
      <c r="H58" s="185"/>
      <c r="I58" s="189">
        <v>104006.14954</v>
      </c>
      <c r="J58" s="220"/>
      <c r="K58" s="189">
        <f>682389.2256+I58</f>
        <v>786395.37514000002</v>
      </c>
      <c r="L58" s="189"/>
      <c r="M58" s="182" t="s">
        <v>174</v>
      </c>
    </row>
    <row r="59" spans="1:17" s="2" customFormat="1" ht="248.25" customHeight="1">
      <c r="A59" s="184"/>
      <c r="B59" s="171"/>
      <c r="C59" s="171"/>
      <c r="D59" s="81" t="s">
        <v>1</v>
      </c>
      <c r="E59" s="81">
        <f>108000+43000+99000</f>
        <v>250000</v>
      </c>
      <c r="F59" s="169"/>
      <c r="G59" s="209"/>
      <c r="H59" s="185"/>
      <c r="I59" s="189"/>
      <c r="J59" s="220"/>
      <c r="K59" s="189"/>
      <c r="L59" s="189"/>
      <c r="M59" s="182"/>
    </row>
    <row r="60" spans="1:17" s="2" customFormat="1" ht="46.5" customHeight="1">
      <c r="A60" s="59" t="s">
        <v>69</v>
      </c>
      <c r="B60" s="47" t="s">
        <v>68</v>
      </c>
      <c r="C60" s="47">
        <v>44119</v>
      </c>
      <c r="D60" s="86" t="s">
        <v>4</v>
      </c>
      <c r="E60" s="83">
        <v>100</v>
      </c>
      <c r="F60" s="83"/>
      <c r="G60" s="81"/>
      <c r="H60" s="83"/>
      <c r="I60" s="85"/>
      <c r="J60" s="86"/>
      <c r="K60" s="85">
        <f>35.07802+I60</f>
        <v>35.078020000000002</v>
      </c>
      <c r="L60" s="85"/>
      <c r="M60" s="55" t="s">
        <v>118</v>
      </c>
    </row>
    <row r="61" spans="1:17" s="2" customFormat="1" ht="132.75" customHeight="1">
      <c r="A61" s="60" t="s">
        <v>46</v>
      </c>
      <c r="B61" s="46">
        <v>40773</v>
      </c>
      <c r="C61" s="46">
        <v>44561</v>
      </c>
      <c r="D61" s="108" t="s">
        <v>4</v>
      </c>
      <c r="E61" s="108">
        <f>2988.339+4000+20000</f>
        <v>26988.339</v>
      </c>
      <c r="F61" s="108">
        <f>4500+6728.536+9000+4000+7000</f>
        <v>31228.536</v>
      </c>
      <c r="G61" s="84">
        <v>1500</v>
      </c>
      <c r="H61" s="85">
        <v>750</v>
      </c>
      <c r="I61" s="161">
        <v>4279.7118099999998</v>
      </c>
      <c r="J61" s="161"/>
      <c r="K61" s="160">
        <f>66449.64+I61</f>
        <v>70729.351809999993</v>
      </c>
      <c r="L61" s="161">
        <f>65489.76346+J61</f>
        <v>65489.763460000002</v>
      </c>
      <c r="M61" s="55" t="s">
        <v>85</v>
      </c>
    </row>
    <row r="62" spans="1:17" s="2" customFormat="1" ht="49.15" customHeight="1">
      <c r="A62" s="60" t="s">
        <v>44</v>
      </c>
      <c r="B62" s="46">
        <v>42360</v>
      </c>
      <c r="C62" s="46">
        <v>44012</v>
      </c>
      <c r="D62" s="81" t="s">
        <v>4</v>
      </c>
      <c r="E62" s="81">
        <v>30000</v>
      </c>
      <c r="F62" s="81">
        <v>2000</v>
      </c>
      <c r="G62" s="84">
        <v>14000</v>
      </c>
      <c r="H62" s="85">
        <v>13300</v>
      </c>
      <c r="I62" s="160">
        <v>23431.500619999999</v>
      </c>
      <c r="J62" s="160">
        <v>261.25905999999998</v>
      </c>
      <c r="K62" s="160">
        <f>50830.52773+I62</f>
        <v>74262.028350000008</v>
      </c>
      <c r="L62" s="160">
        <f>4989.21524+J62</f>
        <v>5250.4743000000008</v>
      </c>
      <c r="M62" s="55" t="s">
        <v>86</v>
      </c>
    </row>
    <row r="63" spans="1:17" s="2" customFormat="1" ht="44.5" customHeight="1">
      <c r="A63" s="60" t="s">
        <v>54</v>
      </c>
      <c r="B63" s="46">
        <v>41506</v>
      </c>
      <c r="C63" s="22">
        <v>43332</v>
      </c>
      <c r="D63" s="81" t="s">
        <v>4</v>
      </c>
      <c r="E63" s="81">
        <v>40000</v>
      </c>
      <c r="F63" s="81">
        <v>8000</v>
      </c>
      <c r="G63" s="84">
        <v>247</v>
      </c>
      <c r="H63" s="85">
        <v>51</v>
      </c>
      <c r="I63" s="160">
        <v>200.99529999999999</v>
      </c>
      <c r="J63" s="161">
        <v>41.16771</v>
      </c>
      <c r="K63" s="160">
        <f>94366.09243+I63</f>
        <v>94567.087729999999</v>
      </c>
      <c r="L63" s="160">
        <f>19321.80063+J63</f>
        <v>19362.968340000003</v>
      </c>
      <c r="M63" s="55" t="s">
        <v>87</v>
      </c>
    </row>
    <row r="64" spans="1:17" s="2" customFormat="1" ht="49.9" customHeight="1">
      <c r="A64" s="60" t="s">
        <v>48</v>
      </c>
      <c r="B64" s="46">
        <v>41480</v>
      </c>
      <c r="C64" s="22" t="s">
        <v>191</v>
      </c>
      <c r="D64" s="81" t="s">
        <v>1</v>
      </c>
      <c r="E64" s="81"/>
      <c r="F64" s="81">
        <v>10052.155000000001</v>
      </c>
      <c r="G64" s="84"/>
      <c r="H64" s="85">
        <v>349</v>
      </c>
      <c r="I64" s="160"/>
      <c r="J64" s="161">
        <v>1710.28405</v>
      </c>
      <c r="K64" s="160"/>
      <c r="L64" s="160">
        <f>20889.3313+J64</f>
        <v>22599.61535</v>
      </c>
      <c r="M64" s="55" t="s">
        <v>66</v>
      </c>
    </row>
    <row r="65" spans="1:13" s="2" customFormat="1" ht="60.75" customHeight="1" thickBot="1">
      <c r="A65" s="70" t="s">
        <v>161</v>
      </c>
      <c r="B65" s="40">
        <v>43336</v>
      </c>
      <c r="C65" s="40">
        <v>45656</v>
      </c>
      <c r="D65" s="91" t="s">
        <v>4</v>
      </c>
      <c r="E65" s="91">
        <v>40000</v>
      </c>
      <c r="F65" s="91">
        <f>3000+6965</f>
        <v>9965</v>
      </c>
      <c r="G65" s="91"/>
      <c r="H65" s="91">
        <v>5000</v>
      </c>
      <c r="I65" s="135">
        <v>649.59424999999999</v>
      </c>
      <c r="J65" s="155">
        <v>4363.4601300000004</v>
      </c>
      <c r="K65" s="135">
        <f>I65</f>
        <v>649.59424999999999</v>
      </c>
      <c r="L65" s="135">
        <f>K65</f>
        <v>649.59424999999999</v>
      </c>
      <c r="M65" s="58" t="s">
        <v>165</v>
      </c>
    </row>
    <row r="66" spans="1:13" s="94" customFormat="1" ht="30" customHeight="1" thickBot="1">
      <c r="A66" s="186" t="s">
        <v>24</v>
      </c>
      <c r="B66" s="187"/>
      <c r="C66" s="187"/>
      <c r="D66" s="187"/>
      <c r="E66" s="187"/>
      <c r="F66" s="188"/>
      <c r="G66" s="92">
        <f>SUM(G67:G78)</f>
        <v>57500</v>
      </c>
      <c r="H66" s="92">
        <f>SUM(H67:H78)</f>
        <v>6500</v>
      </c>
      <c r="I66" s="92">
        <f t="shared" ref="I66:L66" si="4">SUM(I67:I78)</f>
        <v>29566.094833469997</v>
      </c>
      <c r="J66" s="92">
        <f t="shared" si="4"/>
        <v>0</v>
      </c>
      <c r="K66" s="92">
        <f t="shared" si="4"/>
        <v>320933.41536846996</v>
      </c>
      <c r="L66" s="92">
        <f t="shared" si="4"/>
        <v>20950.680079999998</v>
      </c>
      <c r="M66" s="93"/>
    </row>
    <row r="67" spans="1:13" s="2" customFormat="1" ht="87.65" customHeight="1">
      <c r="A67" s="71" t="s">
        <v>78</v>
      </c>
      <c r="B67" s="33">
        <v>43105</v>
      </c>
      <c r="C67" s="33" t="s">
        <v>79</v>
      </c>
      <c r="D67" s="109" t="s">
        <v>4</v>
      </c>
      <c r="E67" s="109">
        <v>28000</v>
      </c>
      <c r="F67" s="109">
        <v>7000</v>
      </c>
      <c r="G67" s="105">
        <v>20000</v>
      </c>
      <c r="H67" s="106">
        <v>5000</v>
      </c>
      <c r="I67" s="143">
        <v>21731.741549999999</v>
      </c>
      <c r="J67" s="143"/>
      <c r="K67" s="143">
        <f>19889.77292+I67</f>
        <v>41621.514469999995</v>
      </c>
      <c r="L67" s="143"/>
      <c r="M67" s="63" t="s">
        <v>98</v>
      </c>
    </row>
    <row r="68" spans="1:13" s="2" customFormat="1" ht="36.75" customHeight="1">
      <c r="A68" s="64" t="s">
        <v>37</v>
      </c>
      <c r="B68" s="191">
        <v>41572</v>
      </c>
      <c r="C68" s="194">
        <v>44560</v>
      </c>
      <c r="D68" s="197" t="s">
        <v>4</v>
      </c>
      <c r="E68" s="197">
        <f>25200+35000</f>
        <v>60200</v>
      </c>
      <c r="F68" s="81">
        <v>8000</v>
      </c>
      <c r="G68" s="84">
        <v>6000</v>
      </c>
      <c r="H68" s="85"/>
      <c r="I68" s="160">
        <v>1653.8420699999999</v>
      </c>
      <c r="J68" s="160"/>
      <c r="K68" s="160">
        <f>93155.934555+I68</f>
        <v>94809.776624999999</v>
      </c>
      <c r="L68" s="160">
        <f>20950.68008+J68</f>
        <v>20950.680079999998</v>
      </c>
      <c r="M68" s="182" t="s">
        <v>88</v>
      </c>
    </row>
    <row r="69" spans="1:13" s="2" customFormat="1" ht="40.5" customHeight="1">
      <c r="A69" s="64" t="s">
        <v>55</v>
      </c>
      <c r="B69" s="192"/>
      <c r="C69" s="195"/>
      <c r="D69" s="198"/>
      <c r="E69" s="198"/>
      <c r="F69" s="81"/>
      <c r="G69" s="84"/>
      <c r="H69" s="85"/>
      <c r="I69" s="160">
        <v>1362.4742200000001</v>
      </c>
      <c r="J69" s="160"/>
      <c r="K69" s="160">
        <f>53261.51993+I69</f>
        <v>54623.994149999999</v>
      </c>
      <c r="L69" s="160"/>
      <c r="M69" s="182"/>
    </row>
    <row r="70" spans="1:13" s="2" customFormat="1" ht="41.25" customHeight="1">
      <c r="A70" s="60" t="s">
        <v>58</v>
      </c>
      <c r="B70" s="193"/>
      <c r="C70" s="196"/>
      <c r="D70" s="199"/>
      <c r="E70" s="199"/>
      <c r="F70" s="81"/>
      <c r="G70" s="84"/>
      <c r="H70" s="85"/>
      <c r="I70" s="85"/>
      <c r="J70" s="86"/>
      <c r="K70" s="85">
        <f>5120.67471+I70</f>
        <v>5120.6747100000002</v>
      </c>
      <c r="L70" s="85"/>
      <c r="M70" s="55" t="s">
        <v>89</v>
      </c>
    </row>
    <row r="71" spans="1:13" s="2" customFormat="1" ht="95.5" customHeight="1">
      <c r="A71" s="60" t="s">
        <v>38</v>
      </c>
      <c r="B71" s="171">
        <v>41885</v>
      </c>
      <c r="C71" s="171">
        <v>44378</v>
      </c>
      <c r="D71" s="81" t="s">
        <v>1</v>
      </c>
      <c r="E71" s="169">
        <v>60000</v>
      </c>
      <c r="F71" s="81"/>
      <c r="G71" s="84">
        <v>8500</v>
      </c>
      <c r="H71" s="85"/>
      <c r="I71" s="85">
        <v>3000.4369934699998</v>
      </c>
      <c r="J71" s="86"/>
      <c r="K71" s="85">
        <f>118003.72586+I71</f>
        <v>121004.16285347</v>
      </c>
      <c r="L71" s="85"/>
      <c r="M71" s="55" t="s">
        <v>90</v>
      </c>
    </row>
    <row r="72" spans="1:13" s="2" customFormat="1" ht="46" customHeight="1">
      <c r="A72" s="60" t="s">
        <v>59</v>
      </c>
      <c r="B72" s="171"/>
      <c r="C72" s="171"/>
      <c r="D72" s="81" t="s">
        <v>1</v>
      </c>
      <c r="E72" s="215"/>
      <c r="F72" s="81"/>
      <c r="G72" s="84"/>
      <c r="H72" s="85"/>
      <c r="I72" s="85"/>
      <c r="J72" s="86"/>
      <c r="K72" s="85">
        <f>1935.69256+I72</f>
        <v>1935.69256</v>
      </c>
      <c r="L72" s="85"/>
      <c r="M72" s="55" t="s">
        <v>91</v>
      </c>
    </row>
    <row r="73" spans="1:13" s="2" customFormat="1" ht="156.75" customHeight="1">
      <c r="A73" s="60" t="s">
        <v>101</v>
      </c>
      <c r="B73" s="83"/>
      <c r="C73" s="83"/>
      <c r="D73" s="110" t="s">
        <v>4</v>
      </c>
      <c r="E73" s="81"/>
      <c r="F73" s="81"/>
      <c r="G73" s="84"/>
      <c r="H73" s="85"/>
      <c r="I73" s="85"/>
      <c r="J73" s="86"/>
      <c r="K73" s="111">
        <f>I73</f>
        <v>0</v>
      </c>
      <c r="L73" s="111"/>
      <c r="M73" s="55" t="s">
        <v>102</v>
      </c>
    </row>
    <row r="74" spans="1:13" s="2" customFormat="1" ht="66" customHeight="1">
      <c r="A74" s="60" t="s">
        <v>103</v>
      </c>
      <c r="B74" s="83"/>
      <c r="C74" s="83"/>
      <c r="D74" s="110" t="s">
        <v>1</v>
      </c>
      <c r="E74" s="81"/>
      <c r="F74" s="81"/>
      <c r="G74" s="84">
        <v>18000</v>
      </c>
      <c r="H74" s="85"/>
      <c r="I74" s="134">
        <v>1817.6</v>
      </c>
      <c r="J74" s="144"/>
      <c r="K74" s="145">
        <f t="shared" ref="K74" si="5">I74</f>
        <v>1817.6</v>
      </c>
      <c r="L74" s="145"/>
      <c r="M74" s="55" t="s">
        <v>104</v>
      </c>
    </row>
    <row r="75" spans="1:13" s="2" customFormat="1" ht="92.5" customHeight="1">
      <c r="A75" s="60" t="s">
        <v>100</v>
      </c>
      <c r="B75" s="191">
        <v>42838</v>
      </c>
      <c r="C75" s="191">
        <v>44742</v>
      </c>
      <c r="D75" s="197" t="s">
        <v>4</v>
      </c>
      <c r="E75" s="197">
        <v>125000</v>
      </c>
      <c r="F75" s="81">
        <v>9900</v>
      </c>
      <c r="G75" s="84">
        <v>1000</v>
      </c>
      <c r="H75" s="85">
        <v>1500</v>
      </c>
      <c r="I75" s="85"/>
      <c r="J75" s="86"/>
      <c r="K75" s="111">
        <f>I75</f>
        <v>0</v>
      </c>
      <c r="L75" s="111">
        <f>J75</f>
        <v>0</v>
      </c>
      <c r="M75" s="55" t="s">
        <v>109</v>
      </c>
    </row>
    <row r="76" spans="1:13" s="2" customFormat="1" ht="90" customHeight="1">
      <c r="A76" s="60" t="s">
        <v>105</v>
      </c>
      <c r="B76" s="192"/>
      <c r="C76" s="192"/>
      <c r="D76" s="198"/>
      <c r="E76" s="198"/>
      <c r="F76" s="81"/>
      <c r="G76" s="84">
        <v>4000</v>
      </c>
      <c r="H76" s="85"/>
      <c r="I76" s="85"/>
      <c r="J76" s="86"/>
      <c r="K76" s="111">
        <f t="shared" ref="K76:K78" si="6">I76</f>
        <v>0</v>
      </c>
      <c r="L76" s="111"/>
      <c r="M76" s="55" t="s">
        <v>155</v>
      </c>
    </row>
    <row r="77" spans="1:13" s="2" customFormat="1" ht="32.25" customHeight="1">
      <c r="A77" s="59" t="s">
        <v>112</v>
      </c>
      <c r="B77" s="193"/>
      <c r="C77" s="193"/>
      <c r="D77" s="199"/>
      <c r="E77" s="199"/>
      <c r="F77" s="81"/>
      <c r="G77" s="84"/>
      <c r="H77" s="85"/>
      <c r="I77" s="85"/>
      <c r="J77" s="86"/>
      <c r="K77" s="111">
        <f>I77</f>
        <v>0</v>
      </c>
      <c r="L77" s="111"/>
      <c r="M77" s="55" t="s">
        <v>113</v>
      </c>
    </row>
    <row r="78" spans="1:13" s="2" customFormat="1" ht="43.9" customHeight="1" thickBot="1">
      <c r="A78" s="59" t="s">
        <v>111</v>
      </c>
      <c r="B78" s="46"/>
      <c r="C78" s="22"/>
      <c r="D78" s="110" t="s">
        <v>4</v>
      </c>
      <c r="E78" s="81"/>
      <c r="F78" s="81"/>
      <c r="G78" s="84"/>
      <c r="H78" s="85"/>
      <c r="I78" s="85"/>
      <c r="J78" s="86"/>
      <c r="K78" s="111">
        <f t="shared" si="6"/>
        <v>0</v>
      </c>
      <c r="L78" s="111"/>
      <c r="M78" s="55" t="s">
        <v>113</v>
      </c>
    </row>
    <row r="79" spans="1:13" s="2" customFormat="1" ht="36.65" customHeight="1" thickBot="1">
      <c r="A79" s="186" t="s">
        <v>25</v>
      </c>
      <c r="B79" s="187"/>
      <c r="C79" s="187"/>
      <c r="D79" s="187"/>
      <c r="E79" s="187"/>
      <c r="F79" s="188"/>
      <c r="G79" s="112">
        <f>G80+G84+G85+G83</f>
        <v>40500</v>
      </c>
      <c r="H79" s="112">
        <f t="shared" ref="H79:L79" si="7">H80+H84+H85+H83</f>
        <v>4000</v>
      </c>
      <c r="I79" s="112">
        <f t="shared" si="7"/>
        <v>15222.948179999998</v>
      </c>
      <c r="J79" s="112">
        <f t="shared" si="7"/>
        <v>3647.0531599999999</v>
      </c>
      <c r="K79" s="112">
        <f t="shared" si="7"/>
        <v>98954.624865999984</v>
      </c>
      <c r="L79" s="112">
        <f t="shared" si="7"/>
        <v>14110.952649999999</v>
      </c>
      <c r="M79" s="113"/>
    </row>
    <row r="80" spans="1:13" s="94" customFormat="1" ht="41.25" customHeight="1">
      <c r="A80" s="207" t="s">
        <v>18</v>
      </c>
      <c r="B80" s="24">
        <v>42052</v>
      </c>
      <c r="C80" s="48">
        <v>44121</v>
      </c>
      <c r="D80" s="80" t="s">
        <v>0</v>
      </c>
      <c r="E80" s="80">
        <v>8610</v>
      </c>
      <c r="F80" s="80"/>
      <c r="G80" s="208">
        <v>4800</v>
      </c>
      <c r="H80" s="211">
        <v>4000</v>
      </c>
      <c r="I80" s="213">
        <v>4296.1361299999999</v>
      </c>
      <c r="J80" s="213">
        <v>3647.0531599999999</v>
      </c>
      <c r="K80" s="213">
        <f>25190.21929+I80</f>
        <v>29486.35542</v>
      </c>
      <c r="L80" s="213">
        <f>10463.89949+J80</f>
        <v>14110.952649999999</v>
      </c>
      <c r="M80" s="204" t="s">
        <v>169</v>
      </c>
    </row>
    <row r="81" spans="1:13" s="2" customFormat="1" ht="39.75" customHeight="1">
      <c r="A81" s="184"/>
      <c r="B81" s="22">
        <v>41978</v>
      </c>
      <c r="C81" s="22">
        <v>42735</v>
      </c>
      <c r="D81" s="81" t="s">
        <v>1</v>
      </c>
      <c r="E81" s="81"/>
      <c r="F81" s="81">
        <v>500</v>
      </c>
      <c r="G81" s="209"/>
      <c r="H81" s="185"/>
      <c r="I81" s="189"/>
      <c r="J81" s="189"/>
      <c r="K81" s="189"/>
      <c r="L81" s="189"/>
      <c r="M81" s="205"/>
    </row>
    <row r="82" spans="1:13" s="2" customFormat="1" ht="36.75" customHeight="1">
      <c r="A82" s="184"/>
      <c r="B82" s="22">
        <v>42052</v>
      </c>
      <c r="C82" s="46">
        <v>43513</v>
      </c>
      <c r="D82" s="81" t="s">
        <v>1</v>
      </c>
      <c r="E82" s="81"/>
      <c r="F82" s="81">
        <v>5300</v>
      </c>
      <c r="G82" s="210"/>
      <c r="H82" s="212"/>
      <c r="I82" s="214"/>
      <c r="J82" s="214"/>
      <c r="K82" s="214"/>
      <c r="L82" s="214"/>
      <c r="M82" s="206"/>
    </row>
    <row r="83" spans="1:13" s="2" customFormat="1" ht="144.65" customHeight="1">
      <c r="A83" s="60" t="s">
        <v>136</v>
      </c>
      <c r="B83" s="47">
        <v>43486</v>
      </c>
      <c r="C83" s="47">
        <v>46022</v>
      </c>
      <c r="D83" s="83" t="s">
        <v>4</v>
      </c>
      <c r="E83" s="83">
        <v>16000</v>
      </c>
      <c r="F83" s="81"/>
      <c r="G83" s="114">
        <v>3600</v>
      </c>
      <c r="H83" s="115"/>
      <c r="I83" s="157">
        <v>511.84118000000001</v>
      </c>
      <c r="J83" s="157"/>
      <c r="K83" s="157">
        <f>I83</f>
        <v>511.84118000000001</v>
      </c>
      <c r="L83" s="157"/>
      <c r="M83" s="72" t="s">
        <v>175</v>
      </c>
    </row>
    <row r="84" spans="1:13" s="2" customFormat="1" ht="70.150000000000006" customHeight="1">
      <c r="A84" s="184" t="s">
        <v>17</v>
      </c>
      <c r="B84" s="38">
        <v>41964</v>
      </c>
      <c r="C84" s="172">
        <v>44408</v>
      </c>
      <c r="D84" s="116" t="s">
        <v>0</v>
      </c>
      <c r="E84" s="117">
        <v>32400</v>
      </c>
      <c r="F84" s="169"/>
      <c r="G84" s="84">
        <v>18600</v>
      </c>
      <c r="H84" s="84"/>
      <c r="I84" s="160">
        <v>9389.3401699999995</v>
      </c>
      <c r="J84" s="161"/>
      <c r="K84" s="160">
        <f>52753.634536+I84</f>
        <v>62142.974705999994</v>
      </c>
      <c r="L84" s="160"/>
      <c r="M84" s="73" t="s">
        <v>92</v>
      </c>
    </row>
    <row r="85" spans="1:13" s="2" customFormat="1" ht="58.5" customHeight="1" thickBot="1">
      <c r="A85" s="166"/>
      <c r="B85" s="50">
        <v>43920</v>
      </c>
      <c r="C85" s="261"/>
      <c r="D85" s="118" t="s">
        <v>4</v>
      </c>
      <c r="E85" s="119">
        <v>18200</v>
      </c>
      <c r="F85" s="197"/>
      <c r="G85" s="120">
        <v>13500</v>
      </c>
      <c r="H85" s="120"/>
      <c r="I85" s="160">
        <v>1025.6306999999999</v>
      </c>
      <c r="J85" s="161"/>
      <c r="K85" s="160">
        <f>5787.82286+I85</f>
        <v>6813.4535599999999</v>
      </c>
      <c r="L85" s="160"/>
      <c r="M85" s="58" t="s">
        <v>93</v>
      </c>
    </row>
    <row r="86" spans="1:13" s="2" customFormat="1" ht="32.25" customHeight="1" thickBot="1">
      <c r="A86" s="186" t="s">
        <v>26</v>
      </c>
      <c r="B86" s="187"/>
      <c r="C86" s="187"/>
      <c r="D86" s="187"/>
      <c r="E86" s="187"/>
      <c r="F86" s="188"/>
      <c r="G86" s="92">
        <f t="shared" ref="G86:L86" si="8">SUM(G87:G88)</f>
        <v>0</v>
      </c>
      <c r="H86" s="92">
        <f t="shared" si="8"/>
        <v>4600</v>
      </c>
      <c r="I86" s="92">
        <f t="shared" si="8"/>
        <v>0</v>
      </c>
      <c r="J86" s="92">
        <f t="shared" si="8"/>
        <v>2556.8483200000001</v>
      </c>
      <c r="K86" s="92">
        <f t="shared" si="8"/>
        <v>0</v>
      </c>
      <c r="L86" s="92">
        <f t="shared" si="8"/>
        <v>28829.282719999999</v>
      </c>
      <c r="M86" s="93"/>
    </row>
    <row r="87" spans="1:13" s="94" customFormat="1" ht="153" customHeight="1">
      <c r="A87" s="62" t="s">
        <v>22</v>
      </c>
      <c r="B87" s="24">
        <v>40119</v>
      </c>
      <c r="C87" s="48">
        <v>44196</v>
      </c>
      <c r="D87" s="80" t="s">
        <v>4</v>
      </c>
      <c r="E87" s="80"/>
      <c r="F87" s="80">
        <v>2267</v>
      </c>
      <c r="G87" s="80">
        <v>0</v>
      </c>
      <c r="H87" s="105">
        <v>2500</v>
      </c>
      <c r="I87" s="106"/>
      <c r="J87" s="162">
        <v>965.20424000000003</v>
      </c>
      <c r="K87" s="159"/>
      <c r="L87" s="159">
        <f>7453.02009+J87</f>
        <v>8418.2243300000009</v>
      </c>
      <c r="M87" s="63" t="s">
        <v>94</v>
      </c>
    </row>
    <row r="88" spans="1:13" s="2" customFormat="1" ht="183.65" customHeight="1" thickBot="1">
      <c r="A88" s="74" t="s">
        <v>16</v>
      </c>
      <c r="B88" s="25">
        <v>40589</v>
      </c>
      <c r="C88" s="25">
        <v>44135</v>
      </c>
      <c r="D88" s="121" t="s">
        <v>4</v>
      </c>
      <c r="E88" s="122"/>
      <c r="F88" s="122">
        <v>8250</v>
      </c>
      <c r="G88" s="122">
        <v>0</v>
      </c>
      <c r="H88" s="122">
        <v>2100</v>
      </c>
      <c r="I88" s="123"/>
      <c r="J88" s="91">
        <v>1591.64408</v>
      </c>
      <c r="K88" s="91"/>
      <c r="L88" s="91">
        <f>18819.41431+J88</f>
        <v>20411.058389999998</v>
      </c>
      <c r="M88" s="75" t="s">
        <v>143</v>
      </c>
    </row>
    <row r="89" spans="1:13" s="2" customFormat="1" ht="31.5" customHeight="1" thickBot="1">
      <c r="A89" s="186" t="s">
        <v>5</v>
      </c>
      <c r="B89" s="187"/>
      <c r="C89" s="187"/>
      <c r="D89" s="187"/>
      <c r="E89" s="187"/>
      <c r="F89" s="188"/>
      <c r="G89" s="112">
        <f>SUM(G90:G101)</f>
        <v>185328</v>
      </c>
      <c r="H89" s="112">
        <f>SUM(H90:H101)</f>
        <v>4864</v>
      </c>
      <c r="I89" s="112">
        <f>SUM(I90:I101)</f>
        <v>83208.347760000004</v>
      </c>
      <c r="J89" s="112">
        <f>SUM(J90:J101)</f>
        <v>15257.5</v>
      </c>
      <c r="K89" s="112">
        <f t="shared" ref="K89:L89" si="9">SUM(K90:K101)</f>
        <v>323367.26542000001</v>
      </c>
      <c r="L89" s="92">
        <f t="shared" si="9"/>
        <v>15257.5</v>
      </c>
      <c r="M89" s="113"/>
    </row>
    <row r="90" spans="1:13" s="94" customFormat="1" ht="40.5" customHeight="1">
      <c r="A90" s="71" t="s">
        <v>171</v>
      </c>
      <c r="B90" s="176">
        <v>43634</v>
      </c>
      <c r="C90" s="176">
        <v>46112</v>
      </c>
      <c r="D90" s="178" t="s">
        <v>4</v>
      </c>
      <c r="E90" s="180">
        <v>90000</v>
      </c>
      <c r="F90" s="80"/>
      <c r="G90" s="105">
        <v>5000</v>
      </c>
      <c r="H90" s="105"/>
      <c r="I90" s="159">
        <v>432.18211000000002</v>
      </c>
      <c r="J90" s="146"/>
      <c r="K90" s="159">
        <f>I90+736.5825</f>
        <v>1168.7646099999999</v>
      </c>
      <c r="L90" s="147"/>
      <c r="M90" s="63" t="s">
        <v>144</v>
      </c>
    </row>
    <row r="91" spans="1:13" s="94" customFormat="1" ht="40.5" customHeight="1">
      <c r="A91" s="132" t="s">
        <v>172</v>
      </c>
      <c r="B91" s="177"/>
      <c r="C91" s="177"/>
      <c r="D91" s="179"/>
      <c r="E91" s="181"/>
      <c r="F91" s="130"/>
      <c r="G91" s="131"/>
      <c r="H91" s="131"/>
      <c r="I91" s="157">
        <v>26.003260000000001</v>
      </c>
      <c r="J91" s="148"/>
      <c r="K91" s="157">
        <f>I91</f>
        <v>26.003260000000001</v>
      </c>
      <c r="L91" s="147"/>
      <c r="M91" s="133" t="s">
        <v>176</v>
      </c>
    </row>
    <row r="92" spans="1:13" s="94" customFormat="1" ht="45.65" customHeight="1">
      <c r="A92" s="76" t="s">
        <v>167</v>
      </c>
      <c r="B92" s="36"/>
      <c r="C92" s="36"/>
      <c r="D92" s="124" t="s">
        <v>4</v>
      </c>
      <c r="E92" s="125"/>
      <c r="F92" s="125"/>
      <c r="G92" s="115">
        <v>29000</v>
      </c>
      <c r="H92" s="115">
        <v>1000</v>
      </c>
      <c r="I92" s="157"/>
      <c r="J92" s="164"/>
      <c r="K92" s="157"/>
      <c r="L92" s="157"/>
      <c r="M92" s="77" t="s">
        <v>166</v>
      </c>
    </row>
    <row r="93" spans="1:13" s="94" customFormat="1" ht="152.25" customHeight="1">
      <c r="A93" s="76" t="s">
        <v>156</v>
      </c>
      <c r="B93" s="36">
        <v>43493</v>
      </c>
      <c r="C93" s="36">
        <v>44926</v>
      </c>
      <c r="D93" s="124" t="s">
        <v>4</v>
      </c>
      <c r="E93" s="125">
        <v>10000</v>
      </c>
      <c r="F93" s="125"/>
      <c r="G93" s="114">
        <v>0</v>
      </c>
      <c r="H93" s="114">
        <v>0</v>
      </c>
      <c r="I93" s="157"/>
      <c r="J93" s="148">
        <v>15257.5</v>
      </c>
      <c r="K93" s="147"/>
      <c r="L93" s="147">
        <f>J93</f>
        <v>15257.5</v>
      </c>
      <c r="M93" s="77" t="s">
        <v>158</v>
      </c>
    </row>
    <row r="94" spans="1:13" s="2" customFormat="1" ht="44.25" customHeight="1">
      <c r="A94" s="76" t="s">
        <v>137</v>
      </c>
      <c r="B94" s="36">
        <v>43630</v>
      </c>
      <c r="C94" s="36">
        <v>45000</v>
      </c>
      <c r="D94" s="124" t="s">
        <v>4</v>
      </c>
      <c r="E94" s="125">
        <v>20000</v>
      </c>
      <c r="F94" s="125"/>
      <c r="G94" s="114">
        <v>1300</v>
      </c>
      <c r="H94" s="115">
        <v>1900</v>
      </c>
      <c r="I94" s="157"/>
      <c r="J94" s="164"/>
      <c r="K94" s="145">
        <f t="shared" ref="K94" si="10">I94</f>
        <v>0</v>
      </c>
      <c r="L94" s="165">
        <f>J94</f>
        <v>0</v>
      </c>
      <c r="M94" s="78" t="s">
        <v>145</v>
      </c>
    </row>
    <row r="95" spans="1:13" s="2" customFormat="1" ht="43.5" customHeight="1">
      <c r="A95" s="59" t="s">
        <v>49</v>
      </c>
      <c r="B95" s="46">
        <v>42661</v>
      </c>
      <c r="C95" s="46">
        <v>44377</v>
      </c>
      <c r="D95" s="81" t="s">
        <v>4</v>
      </c>
      <c r="E95" s="81">
        <v>14000</v>
      </c>
      <c r="F95" s="81"/>
      <c r="G95" s="84">
        <v>1186</v>
      </c>
      <c r="H95" s="85">
        <v>314</v>
      </c>
      <c r="I95" s="156">
        <v>549.24057000000005</v>
      </c>
      <c r="J95" s="149"/>
      <c r="K95" s="149">
        <f>I95</f>
        <v>549.24057000000005</v>
      </c>
      <c r="L95" s="150">
        <v>0</v>
      </c>
      <c r="M95" s="55" t="s">
        <v>168</v>
      </c>
    </row>
    <row r="96" spans="1:13" s="2" customFormat="1" ht="64" customHeight="1">
      <c r="A96" s="59" t="s">
        <v>40</v>
      </c>
      <c r="B96" s="47">
        <v>42346</v>
      </c>
      <c r="C96" s="47">
        <v>43228</v>
      </c>
      <c r="D96" s="83" t="s">
        <v>4</v>
      </c>
      <c r="E96" s="83">
        <v>82821</v>
      </c>
      <c r="F96" s="81"/>
      <c r="G96" s="84">
        <v>5000</v>
      </c>
      <c r="H96" s="85"/>
      <c r="I96" s="160"/>
      <c r="J96" s="149"/>
      <c r="K96" s="149">
        <f>226048.34892+I96</f>
        <v>226048.34891999999</v>
      </c>
      <c r="L96" s="149"/>
      <c r="M96" s="55" t="s">
        <v>63</v>
      </c>
    </row>
    <row r="97" spans="1:13" s="2" customFormat="1" ht="54" customHeight="1">
      <c r="A97" s="79" t="s">
        <v>62</v>
      </c>
      <c r="B97" s="47">
        <v>42929</v>
      </c>
      <c r="C97" s="47">
        <v>44025</v>
      </c>
      <c r="D97" s="83" t="s">
        <v>4</v>
      </c>
      <c r="E97" s="83">
        <v>5500</v>
      </c>
      <c r="F97" s="81">
        <v>1500</v>
      </c>
      <c r="G97" s="84">
        <v>2500</v>
      </c>
      <c r="H97" s="85">
        <v>1650</v>
      </c>
      <c r="I97" s="160"/>
      <c r="J97" s="149"/>
      <c r="K97" s="149">
        <f>8749.28036+I97</f>
        <v>8749.2803600000007</v>
      </c>
      <c r="L97" s="150">
        <v>0</v>
      </c>
      <c r="M97" s="55" t="s">
        <v>188</v>
      </c>
    </row>
    <row r="98" spans="1:13" s="2" customFormat="1" ht="61.5" customHeight="1">
      <c r="A98" s="79" t="s">
        <v>110</v>
      </c>
      <c r="B98" s="45" t="s">
        <v>153</v>
      </c>
      <c r="C98" s="45" t="s">
        <v>154</v>
      </c>
      <c r="D98" s="126"/>
      <c r="E98" s="126"/>
      <c r="F98" s="89"/>
      <c r="G98" s="84">
        <v>100000</v>
      </c>
      <c r="H98" s="119"/>
      <c r="I98" s="156">
        <v>69375.467770000003</v>
      </c>
      <c r="J98" s="151"/>
      <c r="K98" s="149">
        <f>I98</f>
        <v>69375.467770000003</v>
      </c>
      <c r="L98" s="152"/>
      <c r="M98" s="58" t="s">
        <v>189</v>
      </c>
    </row>
    <row r="99" spans="1:13" s="2" customFormat="1" ht="51" customHeight="1">
      <c r="A99" s="79" t="s">
        <v>162</v>
      </c>
      <c r="B99" s="49">
        <v>43950</v>
      </c>
      <c r="C99" s="49">
        <v>45280</v>
      </c>
      <c r="D99" s="85" t="s">
        <v>4</v>
      </c>
      <c r="E99" s="119">
        <v>75000</v>
      </c>
      <c r="F99" s="120"/>
      <c r="G99" s="84">
        <v>15000</v>
      </c>
      <c r="H99" s="119"/>
      <c r="I99" s="156"/>
      <c r="J99" s="156"/>
      <c r="K99" s="153"/>
      <c r="L99" s="153"/>
      <c r="M99" s="58" t="s">
        <v>190</v>
      </c>
    </row>
    <row r="100" spans="1:13" s="2" customFormat="1" ht="84.75" customHeight="1">
      <c r="A100" s="79" t="s">
        <v>33</v>
      </c>
      <c r="B100" s="172">
        <v>42457</v>
      </c>
      <c r="C100" s="172">
        <v>44316</v>
      </c>
      <c r="D100" s="174" t="s">
        <v>1</v>
      </c>
      <c r="E100" s="174">
        <v>23500</v>
      </c>
      <c r="F100" s="89"/>
      <c r="G100" s="84">
        <v>20000</v>
      </c>
      <c r="H100" s="119"/>
      <c r="I100" s="156">
        <v>9195.6103299999995</v>
      </c>
      <c r="J100" s="151"/>
      <c r="K100" s="149">
        <f>4624.70588+I100</f>
        <v>13820.316210000001</v>
      </c>
      <c r="L100" s="152"/>
      <c r="M100" s="58" t="s">
        <v>124</v>
      </c>
    </row>
    <row r="101" spans="1:13" s="2" customFormat="1" ht="51" customHeight="1" thickBot="1">
      <c r="A101" s="68" t="s">
        <v>147</v>
      </c>
      <c r="B101" s="173"/>
      <c r="C101" s="173"/>
      <c r="D101" s="175"/>
      <c r="E101" s="175"/>
      <c r="F101" s="127"/>
      <c r="G101" s="128">
        <v>6342</v>
      </c>
      <c r="H101" s="129"/>
      <c r="I101" s="135">
        <v>3629.8437199999998</v>
      </c>
      <c r="J101" s="154"/>
      <c r="K101" s="154">
        <f>I101</f>
        <v>3629.8437199999998</v>
      </c>
      <c r="L101" s="154"/>
      <c r="M101" s="69" t="s">
        <v>146</v>
      </c>
    </row>
    <row r="102" spans="1:13" s="8" customFormat="1" ht="30" customHeight="1" thickBot="1">
      <c r="A102" s="26"/>
      <c r="B102" s="27"/>
      <c r="C102" s="27"/>
      <c r="D102" s="28"/>
      <c r="E102" s="29"/>
      <c r="F102" s="23" t="s">
        <v>157</v>
      </c>
      <c r="G102" s="23">
        <f>G89+G86+G79+G56+G37+G7+G66</f>
        <v>1032570.5</v>
      </c>
      <c r="H102" s="23">
        <f t="shared" ref="H102:L102" si="11">H89+H86+H79+H56+H37+H7+H66</f>
        <v>48349</v>
      </c>
      <c r="I102" s="23">
        <f t="shared" si="11"/>
        <v>853349.39720346988</v>
      </c>
      <c r="J102" s="23">
        <f t="shared" si="11"/>
        <v>39450.221400000002</v>
      </c>
      <c r="K102" s="23">
        <f t="shared" si="11"/>
        <v>5737433.9333484704</v>
      </c>
      <c r="L102" s="23">
        <f t="shared" si="11"/>
        <v>260517.79934</v>
      </c>
      <c r="M102" s="32"/>
    </row>
    <row r="103" spans="1:13" s="5" customFormat="1" ht="15.75" customHeight="1">
      <c r="A103" s="9"/>
      <c r="B103" s="7"/>
      <c r="C103" s="7"/>
      <c r="D103" s="9"/>
      <c r="E103" s="9"/>
      <c r="F103" s="9"/>
      <c r="G103" s="9"/>
      <c r="H103" s="9"/>
      <c r="I103" s="9"/>
      <c r="J103" s="9"/>
      <c r="K103" s="9"/>
      <c r="L103" s="9"/>
      <c r="M103" s="12"/>
    </row>
    <row r="104" spans="1:13" ht="26.25" customHeight="1">
      <c r="A104" s="260" t="s">
        <v>30</v>
      </c>
      <c r="B104" s="260"/>
      <c r="C104" s="260"/>
      <c r="D104" s="260"/>
      <c r="E104" s="260"/>
      <c r="F104" s="260"/>
      <c r="G104" s="260"/>
      <c r="H104" s="260"/>
      <c r="I104" s="260"/>
      <c r="J104" s="260"/>
      <c r="K104" s="260"/>
      <c r="L104" s="260"/>
    </row>
    <row r="105" spans="1:13" ht="24.75" customHeight="1">
      <c r="A105" s="1" t="s">
        <v>34</v>
      </c>
      <c r="B105" s="2"/>
      <c r="D105" s="1"/>
      <c r="E105" s="1"/>
      <c r="F105" s="1"/>
      <c r="H105" s="1"/>
      <c r="I105" s="1"/>
      <c r="J105" s="1"/>
      <c r="K105" s="1"/>
      <c r="L105" s="1"/>
    </row>
    <row r="106" spans="1:13" ht="24" customHeight="1">
      <c r="A106" s="1"/>
      <c r="B106" s="2"/>
      <c r="D106" s="1"/>
      <c r="E106" s="1"/>
      <c r="F106" s="1"/>
      <c r="H106" s="1"/>
      <c r="I106" s="1"/>
      <c r="J106" s="10"/>
      <c r="K106" s="1"/>
      <c r="L106" s="10"/>
    </row>
    <row r="107" spans="1:13">
      <c r="G107" s="10"/>
      <c r="H107" s="11"/>
      <c r="I107" s="11"/>
      <c r="J107" s="11"/>
      <c r="K107" s="11"/>
      <c r="L107" s="11"/>
    </row>
    <row r="108" spans="1:13" ht="39" customHeight="1">
      <c r="F108" s="12"/>
      <c r="G108" s="10">
        <f>G102-'[1]WEB-2020'!$G$102</f>
        <v>0</v>
      </c>
      <c r="H108" s="10">
        <f>H102-'[1]WEB-2020'!$H$102</f>
        <v>0</v>
      </c>
      <c r="I108" s="10">
        <f>I102-'[2]WEB-2020'!$I$102</f>
        <v>0</v>
      </c>
      <c r="J108" s="10">
        <f>J102-'[2]WEB-2020'!$J$102</f>
        <v>0</v>
      </c>
      <c r="K108" s="10">
        <f>K102-'[2]WEB-2020'!$K$102</f>
        <v>0</v>
      </c>
      <c r="L108" s="10">
        <f>L102-'[2]WEB-2020'!$L$102</f>
        <v>0</v>
      </c>
      <c r="M108" s="1"/>
    </row>
    <row r="109" spans="1:13" ht="21.75" customHeight="1"/>
  </sheetData>
  <mergeCells count="159">
    <mergeCell ref="A104:L104"/>
    <mergeCell ref="A89:F89"/>
    <mergeCell ref="A86:F86"/>
    <mergeCell ref="M25:M26"/>
    <mergeCell ref="C25:C26"/>
    <mergeCell ref="A25:A26"/>
    <mergeCell ref="D25:D26"/>
    <mergeCell ref="G25:G26"/>
    <mergeCell ref="H25:H26"/>
    <mergeCell ref="I25:I26"/>
    <mergeCell ref="J25:J26"/>
    <mergeCell ref="K25:K26"/>
    <mergeCell ref="L25:L26"/>
    <mergeCell ref="A84:A85"/>
    <mergeCell ref="C84:C85"/>
    <mergeCell ref="F84:F85"/>
    <mergeCell ref="F41:F42"/>
    <mergeCell ref="J41:J42"/>
    <mergeCell ref="K41:K42"/>
    <mergeCell ref="A56:F56"/>
    <mergeCell ref="A66:F66"/>
    <mergeCell ref="H30:H31"/>
    <mergeCell ref="I30:I31"/>
    <mergeCell ref="L80:L82"/>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M80:M82"/>
    <mergeCell ref="A80:A82"/>
    <mergeCell ref="G80:G82"/>
    <mergeCell ref="H80:H82"/>
    <mergeCell ref="I80:I82"/>
    <mergeCell ref="J80:J82"/>
    <mergeCell ref="B71:B72"/>
    <mergeCell ref="C71:C72"/>
    <mergeCell ref="E71:E72"/>
    <mergeCell ref="B75:B77"/>
    <mergeCell ref="C75:C77"/>
    <mergeCell ref="D75:D77"/>
    <mergeCell ref="E75:E77"/>
    <mergeCell ref="K80:K82"/>
    <mergeCell ref="A79:F79"/>
    <mergeCell ref="M68:M69"/>
    <mergeCell ref="A10:A11"/>
    <mergeCell ref="A58:A59"/>
    <mergeCell ref="B58:B59"/>
    <mergeCell ref="C58:C59"/>
    <mergeCell ref="F58:F59"/>
    <mergeCell ref="H58:H59"/>
    <mergeCell ref="C41:C42"/>
    <mergeCell ref="A37:F37"/>
    <mergeCell ref="L30:L31"/>
    <mergeCell ref="I12:I13"/>
    <mergeCell ref="K30:K31"/>
    <mergeCell ref="J30:J31"/>
    <mergeCell ref="B68:B70"/>
    <mergeCell ref="C68:C70"/>
    <mergeCell ref="D68:D70"/>
    <mergeCell ref="E68:E70"/>
    <mergeCell ref="B43:B44"/>
    <mergeCell ref="C43:C44"/>
    <mergeCell ref="G43:G44"/>
    <mergeCell ref="H43:H44"/>
    <mergeCell ref="I43:I44"/>
    <mergeCell ref="H41:H42"/>
    <mergeCell ref="G30:G31"/>
    <mergeCell ref="A14:A15"/>
    <mergeCell ref="B30:B31"/>
    <mergeCell ref="F30:F31"/>
    <mergeCell ref="A41:A42"/>
    <mergeCell ref="B41:B42"/>
    <mergeCell ref="A43:A44"/>
    <mergeCell ref="B100:B101"/>
    <mergeCell ref="C100:C101"/>
    <mergeCell ref="D100:D101"/>
    <mergeCell ref="E100:E101"/>
    <mergeCell ref="B90:B91"/>
    <mergeCell ref="C90:C91"/>
    <mergeCell ref="D90:D91"/>
    <mergeCell ref="E90:E91"/>
  </mergeCells>
  <printOptions horizontalCentered="1"/>
  <pageMargins left="0.25" right="0.25" top="0.75" bottom="0.75" header="0.3" footer="0.3"/>
  <pageSetup paperSize="5" scale="43" fitToHeight="0" orientation="landscape" r:id="rId1"/>
  <headerFooter alignWithMargins="0"/>
  <rowBreaks count="2" manualBreakCount="2">
    <brk id="65" max="12" man="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2020-11-03T14:39:09Z</cp:lastPrinted>
  <dcterms:created xsi:type="dcterms:W3CDTF">2011-04-14T08:42:21Z</dcterms:created>
  <dcterms:modified xsi:type="dcterms:W3CDTF">2020-11-04T07:17:41Z</dcterms:modified>
</cp:coreProperties>
</file>