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nna.rusieshvili\Desktop\WEB info\WEB 2020\January\"/>
    </mc:Choice>
  </mc:AlternateContent>
  <bookViews>
    <workbookView xWindow="330" yWindow="555" windowWidth="28425" windowHeight="5835" tabRatio="177"/>
  </bookViews>
  <sheets>
    <sheet name="For Website_ENG" sheetId="12" r:id="rId1"/>
  </sheets>
  <externalReferences>
    <externalReference r:id="rId2"/>
  </externalReferences>
  <definedNames>
    <definedName name="_xlnm.Print_Area" localSheetId="0">'For Website_ENG'!$A$1:$M$100</definedName>
    <definedName name="_xlnm.Print_Titles" localSheetId="0">'For Website_ENG'!$A:$A,'For Website_ENG'!$4:$6</definedName>
  </definedNames>
  <calcPr calcId="162913"/>
</workbook>
</file>

<file path=xl/calcChain.xml><?xml version="1.0" encoding="utf-8"?>
<calcChain xmlns="http://schemas.openxmlformats.org/spreadsheetml/2006/main">
  <c r="K96" i="12" l="1"/>
  <c r="K94" i="12"/>
  <c r="K93" i="12"/>
  <c r="K92" i="12"/>
  <c r="K91" i="12"/>
  <c r="L90" i="12"/>
  <c r="K90" i="12"/>
  <c r="K89" i="12"/>
  <c r="K36" i="12" l="1"/>
  <c r="K35" i="12"/>
  <c r="K34" i="12"/>
  <c r="K33" i="12"/>
  <c r="K32" i="12"/>
  <c r="K30" i="12"/>
  <c r="K27" i="12"/>
  <c r="K25" i="12"/>
  <c r="K24" i="12"/>
  <c r="K21" i="12"/>
  <c r="K20" i="12"/>
  <c r="K18" i="12"/>
  <c r="L17" i="12"/>
  <c r="K17" i="12"/>
  <c r="K16" i="12"/>
  <c r="K14" i="12"/>
  <c r="K12" i="12"/>
  <c r="K10" i="12"/>
  <c r="K8" i="12"/>
  <c r="L86" i="12"/>
  <c r="K84" i="12"/>
  <c r="K83" i="12"/>
  <c r="K82" i="12"/>
  <c r="L79" i="12"/>
  <c r="K79" i="12"/>
  <c r="K45" i="12"/>
  <c r="K41" i="12"/>
  <c r="L40" i="12"/>
  <c r="K40" i="12"/>
  <c r="K39" i="12"/>
  <c r="L38" i="12"/>
  <c r="K38" i="12"/>
  <c r="L87" i="12" l="1"/>
  <c r="H78" i="12"/>
  <c r="I78" i="12"/>
  <c r="J78" i="12"/>
  <c r="K78" i="12"/>
  <c r="L78" i="12"/>
  <c r="G78" i="12"/>
  <c r="H65" i="12"/>
  <c r="I65" i="12"/>
  <c r="J65" i="12"/>
  <c r="G65" i="12"/>
  <c r="K77" i="12"/>
  <c r="K76" i="12"/>
  <c r="K75" i="12"/>
  <c r="L74" i="12"/>
  <c r="K74" i="12"/>
  <c r="K73" i="12"/>
  <c r="K72" i="12"/>
  <c r="K71" i="12"/>
  <c r="K70" i="12"/>
  <c r="K69" i="12"/>
  <c r="K68" i="12"/>
  <c r="L67" i="12"/>
  <c r="L65" i="12" s="1"/>
  <c r="K67" i="12"/>
  <c r="K66" i="12"/>
  <c r="L63" i="12"/>
  <c r="K63" i="12"/>
  <c r="L62" i="12"/>
  <c r="K62" i="12"/>
  <c r="L61" i="12"/>
  <c r="K61" i="12"/>
  <c r="K60" i="12"/>
  <c r="L57" i="12"/>
  <c r="K57" i="12"/>
  <c r="K55" i="12"/>
  <c r="L54" i="12"/>
  <c r="K54" i="12"/>
  <c r="K53" i="12"/>
  <c r="K52" i="12"/>
  <c r="K51" i="12"/>
  <c r="K50" i="12"/>
  <c r="K49" i="12"/>
  <c r="L47" i="12"/>
  <c r="K47" i="12"/>
  <c r="K46" i="12"/>
  <c r="K43" i="12"/>
  <c r="K65" i="12" l="1"/>
  <c r="I7" i="12"/>
  <c r="G37" i="12" l="1"/>
  <c r="J37" i="12" l="1"/>
  <c r="I37" i="12"/>
  <c r="H37" i="12"/>
  <c r="G56" i="12"/>
  <c r="L37" i="12" l="1"/>
  <c r="K37" i="12"/>
  <c r="I56" i="12" l="1"/>
  <c r="E67" i="12" l="1"/>
  <c r="F61" i="12"/>
  <c r="E61" i="12"/>
  <c r="E59" i="12"/>
  <c r="E58" i="12"/>
  <c r="E42" i="12"/>
  <c r="E41" i="12"/>
  <c r="J7" i="12" l="1"/>
  <c r="H7" i="12"/>
  <c r="G7" i="12"/>
  <c r="L7" i="12"/>
  <c r="K7" i="12" l="1"/>
  <c r="H88" i="12"/>
  <c r="G88" i="12"/>
  <c r="K88" i="12" l="1"/>
  <c r="I88" i="12" l="1"/>
  <c r="J88" i="12"/>
  <c r="L88" i="12"/>
  <c r="G85" i="12"/>
  <c r="G97" i="12" s="1"/>
  <c r="H85" i="12"/>
  <c r="I85" i="12"/>
  <c r="J85" i="12"/>
  <c r="K85" i="12"/>
  <c r="L85" i="12"/>
  <c r="H56" i="12" l="1"/>
  <c r="H97" i="12" s="1"/>
  <c r="I97" i="12"/>
  <c r="J56" i="12"/>
  <c r="J97" i="12" s="1"/>
  <c r="K56" i="12"/>
  <c r="K97" i="12" s="1"/>
  <c r="L56" i="12"/>
  <c r="L97" i="12" s="1"/>
  <c r="I102" i="12" l="1"/>
  <c r="J102" i="12"/>
  <c r="G102" i="12" l="1"/>
  <c r="H102" i="12"/>
  <c r="K102" i="12"/>
  <c r="L102" i="12"/>
</calcChain>
</file>

<file path=xl/sharedStrings.xml><?xml version="1.0" encoding="utf-8"?>
<sst xmlns="http://schemas.openxmlformats.org/spreadsheetml/2006/main" count="251" uniqueCount="177">
  <si>
    <t>SDR</t>
  </si>
  <si>
    <t>USD</t>
  </si>
  <si>
    <t xml:space="preserve">USD </t>
  </si>
  <si>
    <t>JPY</t>
  </si>
  <si>
    <t>EUR</t>
  </si>
  <si>
    <t>Other</t>
  </si>
  <si>
    <t>GEL</t>
  </si>
  <si>
    <t>Urban and Municipal Infrastructure</t>
  </si>
  <si>
    <t>Water Infrastructure</t>
  </si>
  <si>
    <t xml:space="preserve">Projects </t>
  </si>
  <si>
    <t>Currency</t>
  </si>
  <si>
    <t>Credit</t>
  </si>
  <si>
    <t>Grant</t>
  </si>
  <si>
    <t>Second Secondary and Local Roads Project (SLRP II) (WB)</t>
  </si>
  <si>
    <t xml:space="preserve"> Adjara Solid Waste Project (EBRD)</t>
  </si>
  <si>
    <t>Second Regional Development Project (Imereti) (WB)</t>
  </si>
  <si>
    <t>Support Programme for Protected Areas in the Caucasus - Georgia (Ecoregional Programme Georgia, Phase III) (KfW)</t>
  </si>
  <si>
    <t xml:space="preserve">Irrigation and Land Market Development Project (WB) </t>
  </si>
  <si>
    <t>Agriculture Modernization, Market Access, and Resilience
(GEF, IFAD)</t>
  </si>
  <si>
    <t>Currency of Loan/Grant</t>
  </si>
  <si>
    <t>East-West Highway Improvement Project (Zestafoni - Kutaisi - Samtredia) (JICA)</t>
  </si>
  <si>
    <t>Second Regional and Municipal Infrastructure Development Project (WB)</t>
  </si>
  <si>
    <t>Development of Protected Areas (CNF)</t>
  </si>
  <si>
    <t>Road Infrastructure</t>
  </si>
  <si>
    <t>Energy Infrastructure</t>
  </si>
  <si>
    <t>Agriculture Sector</t>
  </si>
  <si>
    <t>Environment Protection</t>
  </si>
  <si>
    <t>TOTAL</t>
  </si>
  <si>
    <t xml:space="preserve">Agreed amount
</t>
  </si>
  <si>
    <t>Project Closing date</t>
  </si>
  <si>
    <t>Comment</t>
  </si>
  <si>
    <t>*The Projects financed under the several financing agreement, that have been concluded in different period of time, the date of the first financing agreement is indicated.</t>
  </si>
  <si>
    <t>Third Regional Development Project (Samtskhe-Javakheti and Mtskheta-Mtianeti) (WB)</t>
  </si>
  <si>
    <t>Kvemo Kartli Solid Waste Project (EBRD, SIDA)</t>
  </si>
  <si>
    <t>National Innovation Ecosystem Project (IBRD)</t>
  </si>
  <si>
    <r>
      <t>*</t>
    </r>
    <r>
      <rPr>
        <sz val="12"/>
        <rFont val="Calibri"/>
        <family val="2"/>
      </rPr>
      <t>*</t>
    </r>
    <r>
      <rPr>
        <sz val="12"/>
        <rFont val="Franklin Gothic Book"/>
        <family val="2"/>
        <scheme val="minor"/>
      </rPr>
      <t xml:space="preserve"> The amount of expenditures made from the commercial bank accounts, may be revised at a later stage.</t>
    </r>
  </si>
  <si>
    <t>East-West Highway Improvement Project (Samtredia-Grigoleti-Kobuleti) (EIB, EU)</t>
  </si>
  <si>
    <t>Kutaisi Solid Waste Project (KfW, EU)</t>
  </si>
  <si>
    <t>Transmission Line Project - 500-220 kv "Jvari - Khorga" (EBRD, KfW, EU)</t>
  </si>
  <si>
    <t>Transmission Grid Strengthening Project - 220kv "Akhaltsikhe - Batumi" (WB)</t>
  </si>
  <si>
    <t>Georgia Urban Reconstruction and Development FL (EIB)</t>
  </si>
  <si>
    <t>Capacity building of the Georgian Armed forces (France - SG)</t>
  </si>
  <si>
    <t>KWD</t>
  </si>
  <si>
    <t>Batumi-Akhaltsikhe Road Project (Khulo-Goderdzi Section) (Kuwait Fund)</t>
  </si>
  <si>
    <t>Sadakhlo - Bagratashen Bridge Project (EBRD)</t>
  </si>
  <si>
    <t>East-West Highway Corridor Improvement Project (Zemo Osiauri - Rikoti) (WB, EIB)</t>
  </si>
  <si>
    <t xml:space="preserve">Rehabilitation of Municipal Infrastructure Facilities in Batumi - Phase IV (KfW, EU) </t>
  </si>
  <si>
    <t>Secondary Road Asset Management Project (WB)</t>
  </si>
  <si>
    <t xml:space="preserve">Rehabilitation of Municipal Infrastructure Facilities in Batumi - Phase III (KfW, EU-NIF) </t>
  </si>
  <si>
    <t xml:space="preserve">Urban Services Improvement Investment Program (Water Supply and Sewage Sector) (ADB) </t>
  </si>
  <si>
    <t>Supporting Sustainable Wastewater Management (SIDA)</t>
  </si>
  <si>
    <t>Rehabilitation of Tbilisi Public Schools and Energy Efficiency Improvement Project (CEB, E5P)</t>
  </si>
  <si>
    <t>Fourth East-West Highway Improvement Project (Agara - Zemo Osiauri) (WB)</t>
  </si>
  <si>
    <t xml:space="preserve">Batumi New Bypass Road (ADB, AIIB) </t>
  </si>
  <si>
    <t>Road Corridor Investment Program (Kobuleti Bypass Road) (ADB)</t>
  </si>
  <si>
    <t xml:space="preserve"> Total of Expenditures (Actual expenditures) **</t>
  </si>
  <si>
    <t>Water Infrastructure Modernisation Project II (EIB, EU)</t>
  </si>
  <si>
    <t>Transmission Line Project - 500 kv "Ksani - Stefanwminda" ( KfW).</t>
  </si>
  <si>
    <t>Georgia Upgrade of Municipal Infrastructure (EIB)</t>
  </si>
  <si>
    <t>Kobuleti Wastewater Project (EBRD, ORET)</t>
  </si>
  <si>
    <t>250MGvar reactor in substation "Zestafoni"(EBRD)</t>
  </si>
  <si>
    <t>Georgian Electricity Sector Development (WB)</t>
  </si>
  <si>
    <t>Third Secondary and Local Roads Project (SLRP III) (WB)</t>
  </si>
  <si>
    <t xml:space="preserve"> Sustainable Urban Transport Investment Program (ADB)</t>
  </si>
  <si>
    <t>Batumi Bus Project (EBRD, E5P)</t>
  </si>
  <si>
    <r>
      <t>Date of Agreement</t>
    </r>
    <r>
      <rPr>
        <b/>
        <sz val="14"/>
        <color theme="1"/>
        <rFont val="Calibri"/>
        <family val="2"/>
      </rPr>
      <t>*</t>
    </r>
  </si>
  <si>
    <t>Capacity building of the Georgian Armed forces (France - SG) (ongoing)</t>
  </si>
  <si>
    <t>12.06.2017</t>
  </si>
  <si>
    <t>30.06.2023</t>
  </si>
  <si>
    <t xml:space="preserve">Construction of the wastewater treatment plants in Tskaltubo and Telavi (construction works are ongoing). </t>
  </si>
  <si>
    <t>19,06,2017</t>
  </si>
  <si>
    <t>15,10,2015</t>
  </si>
  <si>
    <t xml:space="preserve"> Kutaisi Waste Water (EIB, EPTATF)</t>
  </si>
  <si>
    <t>Construction/Upgrading of Algeti-Sadakhlo Road (EIB)</t>
  </si>
  <si>
    <t>Construction-Rehabilitation of Chumateleti-Kharagauli section of Secondary Dzirula-Kharagauli-Moliti-Pona-Chumateleti Road (ADB)</t>
  </si>
  <si>
    <t>Construction of Lochini-Sagarejo (km20-km50) section of Tbilisi-Bakurtsikhe-Lagodekhi Road (EIB)</t>
  </si>
  <si>
    <t>Construction of Rustavi-Red Bridge (km22 - km57) section of Tbilisi-Red Bridge (Border of Republic of Azerbaijan) Road (EIB)</t>
  </si>
  <si>
    <t>Construction-Rehabilitation of Ubisa-Dzirula section of Tbilisi-Senaki-Leselidze Road (EIB)</t>
  </si>
  <si>
    <t>Consturction-Rehabilitation of Khevi-Ubisa section of Tbilisi-Senaki-Leselidze Road (ADB)</t>
  </si>
  <si>
    <t>Construction-Rehabilitaion of Chumateleti-Khevi section of Tbilisi-Senaki-Leselidze Road (WB, EIB)</t>
  </si>
  <si>
    <t>Construction of road and tunnel on Kvesheti-Kobi section of Mtskheta-Stepantsminda-Larsi Road (ADB)</t>
  </si>
  <si>
    <t>Construction/Upgrading of Algeti-Sadakhlo Road  (planned)</t>
  </si>
  <si>
    <t>Enguri Hydro  Power Plant Rehabilitation Project  - Climate Resilience Upgrade (EBRD, EU)</t>
  </si>
  <si>
    <t>31,12,2021</t>
  </si>
  <si>
    <t>Small size infrastructural projects in various regions of Georgia (rehabilitation of roads, streets, water-pipes, sewerage system) (construction works are ongoing).</t>
  </si>
  <si>
    <t xml:space="preserve"> -Construction of a new, modern solid waste landfill in Adjara (Kobuleti, near Tsetskhlauri village; Preparatory activities are ongoing); 
 - Closure of the existing solid waste landfill in Batumi (to be closed once a new solid waste landfill becomes operational).</t>
  </si>
  <si>
    <t>Rehabilitation of infrastructure and improvement of cultural heritage sites in Samtskhe-Javakheti and Mtskheta-Mtianeti (construction works are ongoing).</t>
  </si>
  <si>
    <t>Construction of new landfill in the Kvemo Kartli Region (in the city of Marneuli) (preparatory works are ongoing).</t>
  </si>
  <si>
    <t xml:space="preserve"> - Small size infrastructural projects in various regions of Georgia (rehabilitation of roads, streets, water-pipes, sewerage system);
- Rehabilitation/construction of the infrastructure damaged after the flooding in Tbilisi in 2015
(construction works are ongoing)</t>
  </si>
  <si>
    <t xml:space="preserve">Rehabilitation of wastewater collector and treatment plant in Kobuleti (ongoing). </t>
  </si>
  <si>
    <t xml:space="preserve"> -  Rehabilitation of water supply and sewerage systems network in Batumi (activities are partially completed);
 - Construction/rehabilitation of water reservoirs (completed);
 - Construction-rehabilitation of treatment plants (completed); 
 - Creation of a sewerage system in the coastal villages of Adjara, in particular Gonio, Kvariati, Sarfi and Akhalsofeli (completed); 
 -  Modernization of the existing water supply infrastructure and provision of decentralized water supply systems In three villages surrounding Batumi (Chakvi, Mtsvane Kontskhi and Makhinjauri) (ongoing); 
 -Installation of water meters in Batumi (works are ongoing).</t>
  </si>
  <si>
    <t>Rehabilitation and extension of water supply and wastewater system facilities in Batumi (ongoing).</t>
  </si>
  <si>
    <t>Improvement of water supply system in various regions of Georgia (ongoing).</t>
  </si>
  <si>
    <t xml:space="preserve"> - Construction of the electricity lines from the Kavkasioni Transmission Line to the Jvari substation and between the Jvari and the Khorga substations (ongoing);
 -  Construction of Transmission Lines connecting Ksani and Stepantsminda substations (500 Kv) (ongoing) .</t>
  </si>
  <si>
    <t>Constructing of 250 Mgvar capacity reactor in substation "Zestafoni 500" (planned).</t>
  </si>
  <si>
    <t>Construction of high voltage Electricity Transmission Line (220kv) from Akhaltsikhe to Batumi (142km) (ongoing).
At this stage consultations are ongoing with the donor  in order to replace certain works and the completion date within the project, to reflect the changes in the Loan Agreement regarding the project implementation unit due to the merging of the Ministries of Energy and Environmental Protection. The Amendment to the Agreement will be submitted to the Parliament for ratification.</t>
  </si>
  <si>
    <t>Electricity Sector Strategic Environmental and Social Assessment.</t>
  </si>
  <si>
    <t xml:space="preserve">Rehabilitation and Modernisation of irrigation and drainage services in selected areas: Kvemo Samgori Irrigation channel (2200 ha); Tbisi - Kumisi Irrigation channel (2200 ha) and Zeda Ru Irrigation channel  (1319 ha) (ongoing). The estimated cost of project is 30.8 million SDR. </t>
  </si>
  <si>
    <t xml:space="preserve">In several pilot locations  (including Shuakhevi, Vani, Martvili, Mestia, Dedoplistskaro, Gurjaani, Gori, Mtskheta, Tianeti, Tetritskaro) activities regarding land registration are ongoing.  The estimated cost is 1.6 million SDR. </t>
  </si>
  <si>
    <t xml:space="preserve">  Support to:
 - Borjomi-Kharagauli National Park; 
 - Lagodekhi Protected Area; 
 - Vashlovani Protected Area; 
 - Tusheti Protected Area.
(Assessment of Borjomi-Kharagauli's "Sakhvlari" pasture is prepared, Tourism Strategy development for Borjomi-Kharagauli and Javakheti is completed; Small commerce/souvenir stall project in Administration of Borjomi is finished; Article on Javakheti and Lagodekhi for Journal "The Georgian" is finished, which was presented in tourism exhibition in Germany).</t>
  </si>
  <si>
    <t xml:space="preserve"> -  Rehabilitation of infrastructure in Tskaltubo;
 -  Rehabilitation and improvement of cultural heritage sites in Imereti region (supportive infrastructure) 
(constructions works are ongoing).</t>
  </si>
  <si>
    <t>04.2.2017</t>
  </si>
  <si>
    <t>31.12.2023</t>
  </si>
  <si>
    <t xml:space="preserve"> - The project aims to make improvements to the Enguri HPP to alleviate critical power shortages in Georgia at a low cost and to enhance the environmental benefits of the Enguri HPP facility.
 -  New EBRD loan will also help to improve the climatic conditions on the HPP territory.
 (preparatory works are ongoing).</t>
  </si>
  <si>
    <t xml:space="preserve"> Donors’ supported Projects Envisaged in the State Budget</t>
  </si>
  <si>
    <t>Transmission Line Project -500 kv Tskaltubo -Akhaltsikhe - Tortumi (KfW)</t>
  </si>
  <si>
    <t>North Ring – Tskaltubo (Phase 1) (EBRD, KfW)</t>
  </si>
  <si>
    <t xml:space="preserve"> - Construction of 220kV double-circuit OHL Khudoni-Nenskra;
 - Construction 110kV OHL Khudoni-Mestia;
 - Construction of 125MVA, 110/35kV SS Mestia;
 - Construction of 500/220/110kV SS Khudoni;
 - 500kV OHL Kavkasioni tie-in to SS Khudoni;
 - Construction of 110kV double circuit OHL Kheledula-Jakhunderi;
 - Construction/Extension of 220kV SS Lajanuri
(planned)</t>
  </si>
  <si>
    <t>500Kv OHL Jvari –Tskhaltubo (WB)</t>
  </si>
  <si>
    <t>- Construction of 500kV single-circuit OHL Jvari – Tskhaltubo (approximately 100 Km);
 - Construction of 500kV SS Tskhaltubo
(planned)</t>
  </si>
  <si>
    <t>Reinforcement of Transmission Infrastructure of Guria (KfW)</t>
  </si>
  <si>
    <t xml:space="preserve"> - 220/110kV substation Ozurgeti, 250MVA installed capacity;
 - Double circuit OHL tie-in from 220kV OHL Paliastomi to 220/110kV substation Ozurgeti;
 - Construction of a new 110kV substation in Chokhatauri;
 - Construction of a new double-circuit 110kV line Ozurgeti-Chokhatauri
(planned)</t>
  </si>
  <si>
    <t xml:space="preserve"> Energy Efficiency Improvements in Public Buildings and Use Renewables and Alternatuve Energy in Georgia (NEFCO , E5P)</t>
  </si>
  <si>
    <t>Integrated Solid Waste Management  Program II (Kakheti and Samegrelo - Zemo Svaneti.) (KfW)</t>
  </si>
  <si>
    <t>EBRD - Tbilisi Solid Waste Project</t>
  </si>
  <si>
    <t xml:space="preserve"> - Construction of 500kV double-circuit OHL Tskaltubo-Akhaltsikhe)
 - Extension of 500kV substation Akhaltsikhe;
 - Construction of 400kV OHL Akhaltsikhe-Tortum
(planned)</t>
  </si>
  <si>
    <t>Tbilisi Bus Project -  Phasa-II (EBRD, E5P)</t>
  </si>
  <si>
    <t xml:space="preserve">Strengthening Kakheti Infrastructureა (KfW) </t>
  </si>
  <si>
    <t>Kheledula-Lajanuri-Oni (KfW)</t>
  </si>
  <si>
    <t>Planned</t>
  </si>
  <si>
    <t xml:space="preserve"> - Construction of Zestafoni - Kutaisi section (15.2 km) (Construction works are ongoing, 14 km section is open for traffic);
 - Construction of a new Kutaisi bypass (Construction works completed for 17.3 km section of the Highway and was opened for traffic in 2014);
 - Construction of a new road from Kutaisi to Samtredia (Construction works are completed and 24 km section is open for traffic).</t>
  </si>
  <si>
    <t>31.08.2021</t>
  </si>
  <si>
    <t xml:space="preserve">  - Construction of a new solid waste landfill (Kutaisi entrance, Chognari Village) (preparatory works are ongoing); 
 - Purchasing of necessary machinery/equipment for the transportation of solid waste and functioning of the sanitary landfill (planned in 2017);
 - Closure of the existing solid waste landfill in Kutaisi (to be closed once a new solid waste landfill becomes operational).</t>
  </si>
  <si>
    <t xml:space="preserve">  - Rehabilitation of Zugdidi-Mestia road (completed);
 -  Anaklia coastal protection Phase I (Completed);
 - Construction of a new subway station "University" in Tbilisi (completed);
 - Construction of Tbilisi-Rustavi highway  Sections I - II  (completed);
 -  Construction of Tbilisi-Rustavi highway Section  II  (construction works are ongoing); 
 -  Coastal protection of Anaklia Phase II (completed);
 -   Construction of a coastal protection works in Batumi (construction works are ongoing);
 -  Rehabiliotation of subway station in Tbilisi (  replacement of subway electrical and ventilation system) (construction works are ongoing).</t>
  </si>
  <si>
    <t>- Small size infrastructural projects in various regions of Georgia (rehabilitation of roads, streets, water-pipes, sewerage system);
- Rehabilitation/construction of the infrastructure damaged after the flooding in Tbilisi in 2015
(construction works are ongoing)</t>
  </si>
  <si>
    <t xml:space="preserve">  Kutaisi - Construction/rehabilitation of water supply systems and treatment Plant (the procedures of designing of construction works and supervisory service procurement are ongoing).</t>
  </si>
  <si>
    <t>- Purchasing of buses (diesel and electric). 40 units of diesel buses were purchased and brought to Georgia; 
- Purchasing of electric buses (planned).</t>
  </si>
  <si>
    <t>- Renewing the Solid Waste collection fleet (rear loaded compactor vehicles);
-  Upgrading of the existing solid waste transfer station;
- Rehabilitation and Improvement  of the  leachate system at the  solid waste landfill of Tbilisi.</t>
  </si>
  <si>
    <t>Rehabilitation and Reconstruction of Chiatura's Gondola Lifts (France)</t>
  </si>
  <si>
    <t>Upgrade of Urban Mechanical equipment for reversible gondola ropeways for the city of Chiatura:
 - Gondola ropeway #1 Center - Sanatorium (construction works are ongoing);
 - Gondola ropeway #2 Center - Lezhubani (construction works are ongoing);
 - Gondola ropeway #3 Center - Naguti (construction works are ongoing);
 - Gondola ropeway #4 Center - Mukhadze (construction works are ongoing)</t>
  </si>
  <si>
    <t xml:space="preserve"> To  implement a regional municipal waste management system in Zugdidi (on the existing waste management base) and Gurjaani (village Melaani) that will serve Samegrelo-Zemo Svaneti and Kakheti regions (preparatory works are ongoing).</t>
  </si>
  <si>
    <t xml:space="preserve">Reconstruction - Rehabilitation and necessary efficiency improvements of approximately 25 public schools in Tbilisi. (preparatory works are ongoing). 
</t>
  </si>
  <si>
    <t>Construction of Grigoleti-Choloki (km48 - km64) section of Senaki-Poti-Sarpi Road (EIB)</t>
  </si>
  <si>
    <t xml:space="preserve">Construction of Rustavi-Red Bridge (km22 - km57) section of Tbilisi-Red Bridge (Border of Republic of Azerbaijan) (planned). (The tender  procedures for selecting the  supervision of construction works of Rustavi-Red Bridge (Lot 1 an Lot 2) are ongoing). </t>
  </si>
  <si>
    <t xml:space="preserve"> - Development of a network of Innovation Hubs and Innovation Centers in the various cities and villages of Georgia;
 - Support to increase adoption and use of broadband internet services and advanced information technology by Eligible Households and Eligible MSMEs in rural areas of Georgia;
 - Developing the innovation capacity of individuals and firms.</t>
  </si>
  <si>
    <t>Construction of a new bridge at the Sadakhlo-Bagratashen border crossing between the Republic of Armenia and Georgia  (detailed projectioon works are ongoing).</t>
  </si>
  <si>
    <t>Implementation of energy efficiency activities in public buildings. (Implementation of renewable and alternative energy sources in administrative and educational buildings) (preparatory works are ongoing).</t>
  </si>
  <si>
    <t>Construction-Rehabilitaion of Chumateleti-Khevi section of Tbilisi-Senaki-Leselidze Road (construction works are ongoing).</t>
  </si>
  <si>
    <t xml:space="preserve">Consturction-Rehabilitation of Khevi-Ubisa section of Tbilisi-Senaki-Leselidze Road (construction works are ongoing).  </t>
  </si>
  <si>
    <t xml:space="preserve">Construction of Grigoleti-Choloki (km48 - km64) section of Senaki-Poti-Sarpi Road  (constructions works are ongoing).  </t>
  </si>
  <si>
    <t xml:space="preserve"> Rehabilitation of secondary road connecting Dzirula-Kharagauli-Moliti-Pona-Chumateleti Road ( Dzirula-Moliti road rehabilitation - the constraction works are ongoing). </t>
  </si>
  <si>
    <t>Construction of Poti Bridge on River Rioni (ADB)</t>
  </si>
  <si>
    <t xml:space="preserve">  - Construction of Batumi Bypass two-lane 14.3 km Road (construction works are ongoing);
 - Maintenance of approximately 200 km International and Local roads (planned);
- Detailed project preparation works are ongoing for Batumi-Sarfi section. </t>
  </si>
  <si>
    <t xml:space="preserve">Upgrading of approximately 11 km of the existing 2-line East-West Highway Corridor to a  2-line dual carriageway from  Chumateleti to Khevi (mobilization and preparatory works are ongoing). </t>
  </si>
  <si>
    <t>Construction of Poti Bridge on River Rioni  (Tender on  construction of Poti bridge and access roads has been announced).</t>
  </si>
  <si>
    <t>Rehabilitation of secondary and local roads in different regions of Georgia (approx. 225 km in total) (The project was closed on June 30, 2019).</t>
  </si>
  <si>
    <t>Construction of road and tunnel on Kvesheti-Kobi section of Mtskheta-Stepantsminda-Larsi Road. Road section: (Preparatory works are ongoing).</t>
  </si>
  <si>
    <t>Construction of Lochini-Sagarejo (km20-km50) section of Tbilisi-Bakurtsikhe-Lagodekhi Road  (the procedures for identifying the funding sources are ongoing).</t>
  </si>
  <si>
    <t xml:space="preserve"> - Rehabilitation and/or periodic maintenance, technical works of selected secondary road sections in Guria region (planned); 
 - Rehabilitation of selected secondary road sections in Mtskheta - Mtianeti, Racha - Lechkhumi and Shida Kartli regions considering the design and construction conditions (rehabilitation works were completed for two sections, the contract was terminated on lots I and II of Zhinvali-Barisakho section. Thre procedures for preparing the documentation  for re-tender is ongoing, which is scheduled to be announced in February 2020);
 -Monitoring and supervision of works contracts (supervision of rehabilitation works of 4 road sections is ongoing).</t>
  </si>
  <si>
    <t xml:space="preserve">
-Mestia - Construction of Water Intake building (completed);Construction/rehabilitation of water supply and wastewater networks (construction works are completed); Construction of wastewater treatment plant and new reservoir, rehabilitation of existing reservoir (Construction was completed; A final testing day has been set); Designing and construction of Mestia wastewater treatment plant rehabilitation (project works are ongoing);
 -Anaklia - Construction of Water Intake building; Construction/rehabilitation of water supply and wastewater networks (completed); construction of wastewater treatment plant (the storage procedures are ongoing); Construction/projecting of wastewater treatment plant (tendering procedures are ongoing);
-  Kutaisi - Construction/rehabilitation of water supply systems (reservoirs, pumping stations, water distribution network) (construction works are ongoing); 
-  Poti - Construction/rehabilitation of water supply systems (completed); rehabilitation of wastewater network (constructio works are ongoing); rehabilitation of wastewater treatment plant (construction works are ongoing); 
- Ureki - Construction of water supply and wastewater systems ( completed, the warranty period is ongoing); 
- Ureki - Construction of wastewater collector and treatment plant (completed, the testing process is ongoing);
 - Zugdidi - Construction of water systems (construction works are ongoing);
 - Zugdidi - Construction/rehabilitation of wastewater systems (construction works are ongoing);
 - Zugdidi - Construction of water supply and wastewater systems (the procedures for selection of the design are ongoing);
- Jvari – Construction of Water Supply System (construction works are ongoing);  
- Chiatura - Construction of Water Supply System (construction works are ongoing); 
- Marneuli - Rehabilitation of water supply and wastewater system facilities ( the mobilization works are ongoing);
- Marneuli - wastewater-treatment plant designing and construction ( project works are ongoing); 
- Construction of Abasha main line (constructions works are ongoing);
-  Construction of Water Supply System in Telavi  (the procedures for preparing tender documentation is ongoing); 
- Construction water and sewerage systems in Gudauri (construction works are ongoing); 
-  Constraction of wastewater treatment plant in Gudauri (project works are ongoing).
</t>
  </si>
  <si>
    <t>Amount envisaged in the State Budget 2020</t>
  </si>
  <si>
    <t>Expenditures made during the Year of 2020
(Actual expenditures) **</t>
  </si>
  <si>
    <t xml:space="preserve">As of January 31, 2020 (In thousand) </t>
  </si>
  <si>
    <t xml:space="preserve">Consturction-Rehabilitation of Shorapani Argveta Section of Tbilisi-Senaki-Leselidze Road (ADB)) </t>
  </si>
  <si>
    <t>Dairy Modernization and Market Access Programme  -  DiMMA (IFAD)</t>
  </si>
  <si>
    <t>Georgia I2Q - Innovation, Inclusion and Quality Project (IBRD)</t>
  </si>
  <si>
    <t>Vocational Education Programme I (KfW)</t>
  </si>
  <si>
    <t xml:space="preserve"> - Construction of the Agara - Zemo Osiauri Section (approximately 12 km) of the Highway (construction works are completed, 7 km section is open for traffic, the remaining 5 km section will be opened after the completion of construction works on the section of Zemo Osiauri-Chumateleti )
 - Construction of a riverbank protection (approximately 3.4 km) structure (completed);
 - Feasibility study and other preparatory activities (including Second Rikoti Tunnel) for the construction of the Rikoti-Zestafoni Section of Highway (completed);
- Detailed project preparation works completed for Chumateleti-Khevi, Zhinvali-Larsi and Samtredia-Zugdidi-Anaklia sections;
- Detailed project preparation works are ongoing for Rustavi-Red Bridge-Sadakhlo and Tbilisi-Lagodekhi sections.;
- Detailed project preparation works completed  for Rustavi-Red Bridge-Sadakhlo section;
- Detailed project preparation works are ongoing for Tbilisi-Lagodekhi section.</t>
  </si>
  <si>
    <t xml:space="preserve">  - Construction of the Zemo Osiauri - Chumateleti Section (approximately 14.1 km) of the Highway ( construction works are ongoing for Lot I, agreement for Lot II was terminated, out of which  for 1.9 km section (km-5 + 800-km-7 + 700) the contract was signed with the contracting company of Lot I - Sinohydro. Completion of km7.7 is planned for the end of July 2020, and tender for the remaining part of Lot II (km7.7-km 14.6) is planned in a short time );  
- Institutional Development of the Roads Department (ongoing);
-  Technical Assistance to the Ministry of Economy and Sustainable Development of Georgia in preparation of Feasibility Study to identify priority logistic sites (completed);
 - Preparation of designs and supporting studies for future investment for the development of the road network (ongoing). </t>
  </si>
  <si>
    <t xml:space="preserve">- Construction of a new Kobuleti Bypass Road (approximately 32 km) (First section (12+400 - km 31+259) of the Highway is open for traffic, construction works completed for second section (18 km), traffic is open);
- Detailed project preparation works completed for Khevi-Argveta section;
- Detailed project preparation works are ongoing for Tbilisi-Natakhtari-Zhinvali section.
</t>
  </si>
  <si>
    <t xml:space="preserve"> - Construction of a new four lane highway (approx. 52 km) from Samtredia to Grigoleti (construction works are going under the I, II and IV lots, III lot -   the procedures of  pre-qualification is ongoing , the deadline for submitting applications is February 04, 2020);
-  The contract  for  Lot I was terminated and the contract for the remaining works was signed on November 13, 2018. Deadline for completion of works  is December 03, 2020; 
- The contract for Lot II was signed on November 13, 2015. Completion of works  is planned by the end of 2020;
- The contract for Lot  IV  was signed on December 24, 2014. Completion of works  is planned by the end of 2020;
 - Road sections of Poti-Grigoleti and Grigoleti-Kobuleti Bypass Road (  preparation of the Detailed Design was completed);</t>
  </si>
  <si>
    <t xml:space="preserve"> Rehabilitation-reconstruction of Shorapani-Argveta section of Tbilisi-Senaki-Leselidze highway. the contract was signed on January 16,2020. </t>
  </si>
  <si>
    <t>Rehabilitation of secondary and local roads in different regions of Georgia (approx. 200 km in total) (an additional 12 road will be  rehabilitated within the project (approx. 80 km in total), out of which the works for all sections completed. 
-Detailed project preparation has been completed for Bakurtsikhe-Tsnori and Gurjaani-Telavi section.</t>
  </si>
  <si>
    <t>Rehabilitation-reconstruction of the Khulo-Goderdzi Section of the Batumi-Akhaltsikhe Road Project (approximately 29 km 2 lane road) (ongoing).</t>
  </si>
  <si>
    <t xml:space="preserve"> Livable Cities Investment Program (ADB)</t>
  </si>
  <si>
    <t>Urban Transport Development  (EBRD)</t>
  </si>
  <si>
    <t>Municipal Service Improvement Program  (EBRD)</t>
  </si>
  <si>
    <t xml:space="preserve">To purchase 175 new buses for 6 cities (Gori, Kutaisi, Poti, Rustavi, Telavi and Zugdidi )  and rehabilitation of outdated municipal transport. </t>
  </si>
  <si>
    <t xml:space="preserve">To purchase the speciial techniques for improvement of the service quality and security measures in Bakuriani. </t>
  </si>
  <si>
    <t xml:space="preserve">The resource will mainly finance the preparatory activities of the projects planned within the framework of the "Cities for Investment Program" (Feasibility study of projects, detailed study of social and environmental conditions, preparation of design and tender documentation and other). </t>
  </si>
  <si>
    <r>
      <rPr>
        <b/>
        <sz val="12"/>
        <rFont val="Franklin Gothic Book"/>
        <family val="2"/>
        <scheme val="minor"/>
      </rPr>
      <t>support for the growth of income of small farmers in various regions of Georgia and  promote investments in the production / processing / sale of agricultural products</t>
    </r>
    <r>
      <rPr>
        <sz val="12"/>
        <rFont val="Franklin Gothic Book"/>
        <family val="2"/>
        <scheme val="minor"/>
      </rPr>
      <t xml:space="preserve">
- Rehabilitation works for Tiriponi  irrigation system distribution network (G-3 distributor's internal network and G-3-2-1) and rehabilitation of its other distribution networks (Shida Kartli, Gori) are ongoing;
- Rehabilitation works for  rehabilitation /modernization of Kvemo Alazani Distribution network (G-32 and G-35) and its other distribution networks (Kakheti, Gurjaani) are ongoing;
- Rehabilitation works for rehabilitation of Saltvisi irrigation system networks (alternative and Dzlevijvari networks ) and internal networks (Shida Kartli, Gori, Kareli) are ongoing;
- the construction works of the reservoir in  Iakublos completed (Kvemo Kartli, Dmanisi).
</t>
    </r>
  </si>
  <si>
    <t xml:space="preserve"> - Construction of Administrative and Visitor Centers of  Kazbegi, Kintrishi, Algeti Protected Areas was completed; 
-  Eco-tourism strategies of Kazbegi, Kintrishi, Algeti and Pshav-Khevsureti are developed;  
- Management plans for Kazbegi, Kintrishi, Algeti and Pshav-Khevsureti are developed and prepared for approval; 
-  Construction of Pshav-Khevsureti Administration and Visitor Center is ongoing;
-  Rehabilitation of Manglisi Roche Park is completing; 
- The demarcation of Pshav-Khevsureti is completed; 
-  The physical demarcation of Kazbegi, Kintrishi, Algeti and Pshav-Khevsureti is completed; 
-The Prometheus Cave Exhibition space was fully rehabilitated; 
- A rope park was set up in Manglisi, Algeti National Park.  </t>
  </si>
  <si>
    <t>To expand access to preschool education and improve the quality of education and learning environments.</t>
  </si>
  <si>
    <t xml:space="preserve"> Construction of a Centre of Excellence, including equiping of classrooms and workshops and making small investmens in existing vocational colleges.</t>
  </si>
  <si>
    <t>Providing Applied Research Grants to scientists selected through the Shota Rustaveli National Science Foundation.</t>
  </si>
  <si>
    <t>Applied Research Grants  Program (National Innovation Ecosystem Project) (IBRD)</t>
  </si>
  <si>
    <t>Development of value chain production / processing /sale and promotion of innovation in this sector. Institutional and organizational development; The program will be implemented in three regions: Imereti, Samegrelo-Zemo Svaneti and Samtskhe-Javakheti.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</si>
</sst>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dd\.mm\.yyyy"/>
  </numFmts>
  <fonts count="18">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SPLiteraturuly"/>
    </font>
    <font>
      <sz val="12"/>
      <color theme="1"/>
      <name val="Franklin Gothic Book"/>
      <family val="2"/>
      <scheme val="minor"/>
    </font>
    <font>
      <sz val="12"/>
      <color rgb="FFFF0000"/>
      <name val="Franklin Gothic Book"/>
      <family val="2"/>
      <scheme val="minor"/>
    </font>
    <font>
      <sz val="12"/>
      <name val="Franklin Gothic Book"/>
      <family val="2"/>
      <scheme val="minor"/>
    </font>
    <font>
      <sz val="14"/>
      <name val="Franklin Gothic Book"/>
      <family val="2"/>
      <scheme val="minor"/>
    </font>
    <font>
      <sz val="14"/>
      <color theme="0"/>
      <name val="Franklin Gothic Book"/>
      <family val="2"/>
      <scheme val="minor"/>
    </font>
    <font>
      <b/>
      <sz val="12"/>
      <name val="Franklin Gothic Book"/>
      <family val="2"/>
      <scheme val="minor"/>
    </font>
    <font>
      <sz val="12"/>
      <name val="Calibri"/>
      <family val="2"/>
    </font>
    <font>
      <b/>
      <sz val="14"/>
      <color theme="1"/>
      <name val="Franklin Gothic Book"/>
      <family val="2"/>
      <scheme val="minor"/>
    </font>
    <font>
      <sz val="14"/>
      <color theme="1"/>
      <name val="Franklin Gothic Book"/>
      <family val="2"/>
      <scheme val="minor"/>
    </font>
    <font>
      <b/>
      <sz val="14"/>
      <color theme="1"/>
      <name val="Calibri"/>
      <family val="2"/>
    </font>
    <font>
      <sz val="12"/>
      <color theme="1" tint="0.14999847407452621"/>
      <name val="Franklin Gothic Book"/>
      <family val="2"/>
      <scheme val="minor"/>
    </font>
    <font>
      <b/>
      <sz val="14"/>
      <name val="Franklin Gothic Book"/>
      <family val="2"/>
      <scheme val="minor"/>
    </font>
    <font>
      <sz val="12"/>
      <name val="Franklin Gothic Book"/>
      <family val="1"/>
      <scheme val="minor"/>
    </font>
  </fonts>
  <fills count="5">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theme="4" tint="0.59996337778862885"/>
        <bgColor indexed="64"/>
      </patternFill>
    </fill>
  </fills>
  <borders count="5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diagonal/>
    </border>
    <border>
      <left style="thin">
        <color theme="1" tint="0.499984740745262"/>
      </left>
      <right style="thin">
        <color theme="1" tint="0.499984740745262"/>
      </right>
      <top style="medium">
        <color indexed="64"/>
      </top>
      <bottom style="thin">
        <color theme="1" tint="0.499984740745262"/>
      </bottom>
      <diagonal/>
    </border>
    <border>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theme="1" tint="0.499984740745262"/>
      </right>
      <top style="thin">
        <color indexed="64"/>
      </top>
      <bottom style="medium">
        <color indexed="64"/>
      </bottom>
      <diagonal/>
    </border>
    <border>
      <left style="thin">
        <color theme="1" tint="0.499984740745262"/>
      </left>
      <right style="thin">
        <color indexed="64"/>
      </right>
      <top style="medium">
        <color indexed="64"/>
      </top>
      <bottom style="thin">
        <color theme="1" tint="0.499984740745262"/>
      </bottom>
      <diagonal/>
    </border>
    <border>
      <left style="thin">
        <color theme="1" tint="0.499984740745262"/>
      </left>
      <right/>
      <top style="thin">
        <color theme="1" tint="0.499984740745262"/>
      </top>
      <bottom style="medium">
        <color auto="1"/>
      </bottom>
      <diagonal/>
    </border>
    <border>
      <left/>
      <right/>
      <top style="thin">
        <color theme="1" tint="0.499984740745262"/>
      </top>
      <bottom style="medium">
        <color auto="1"/>
      </bottom>
      <diagonal/>
    </border>
    <border>
      <left/>
      <right style="thin">
        <color indexed="64"/>
      </right>
      <top style="thin">
        <color theme="1" tint="0.499984740745262"/>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theme="0" tint="-0.499984740745262"/>
      </right>
      <top style="medium">
        <color indexed="64"/>
      </top>
      <bottom style="dotted">
        <color theme="0" tint="-0.499984740745262"/>
      </bottom>
      <diagonal/>
    </border>
    <border>
      <left style="dotted">
        <color theme="0" tint="-0.499984740745262"/>
      </left>
      <right style="dotted">
        <color theme="0" tint="-0.499984740745262"/>
      </right>
      <top style="medium">
        <color indexed="64"/>
      </top>
      <bottom style="dotted">
        <color theme="0" tint="-0.499984740745262"/>
      </bottom>
      <diagonal/>
    </border>
    <border>
      <left style="dotted">
        <color theme="0" tint="-0.499984740745262"/>
      </left>
      <right style="medium">
        <color indexed="64"/>
      </right>
      <top style="medium">
        <color indexed="64"/>
      </top>
      <bottom style="dotted">
        <color theme="0" tint="-0.499984740745262"/>
      </bottom>
      <diagonal/>
    </border>
    <border>
      <left style="medium">
        <color indexed="64"/>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medium">
        <color indexed="64"/>
      </right>
      <top style="dotted">
        <color theme="0" tint="-0.499984740745262"/>
      </top>
      <bottom style="dotted">
        <color theme="0" tint="-0.499984740745262"/>
      </bottom>
      <diagonal/>
    </border>
    <border>
      <left style="medium">
        <color indexed="64"/>
      </left>
      <right style="dotted">
        <color theme="0" tint="-0.499984740745262"/>
      </right>
      <top style="dotted">
        <color theme="0" tint="-0.499984740745262"/>
      </top>
      <bottom style="medium">
        <color indexed="64"/>
      </bottom>
      <diagonal/>
    </border>
    <border>
      <left style="dotted">
        <color theme="0" tint="-0.499984740745262"/>
      </left>
      <right style="dotted">
        <color theme="0" tint="-0.499984740745262"/>
      </right>
      <top style="dotted">
        <color theme="0" tint="-0.499984740745262"/>
      </top>
      <bottom style="medium">
        <color indexed="64"/>
      </bottom>
      <diagonal/>
    </border>
    <border>
      <left style="dotted">
        <color theme="0" tint="-0.499984740745262"/>
      </left>
      <right style="medium">
        <color indexed="64"/>
      </right>
      <top style="dotted">
        <color theme="0" tint="-0.499984740745262"/>
      </top>
      <bottom style="medium">
        <color indexed="64"/>
      </bottom>
      <diagonal/>
    </border>
    <border>
      <left style="dotted">
        <color theme="1" tint="4.9989318521683403E-2"/>
      </left>
      <right style="dotted">
        <color theme="1" tint="4.9989318521683403E-2"/>
      </right>
      <top style="medium">
        <color indexed="64"/>
      </top>
      <bottom style="dotted">
        <color theme="1" tint="4.9989318521683403E-2"/>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dotted">
        <color theme="0" tint="-0.499984740745262"/>
      </bottom>
      <diagonal/>
    </border>
    <border>
      <left style="medium">
        <color indexed="64"/>
      </left>
      <right style="dotted">
        <color theme="0" tint="-0.499984740745262"/>
      </right>
      <top style="dotted">
        <color theme="0" tint="-0.499984740745262"/>
      </top>
      <bottom/>
      <diagonal/>
    </border>
    <border>
      <left style="medium">
        <color indexed="64"/>
      </left>
      <right style="dotted">
        <color theme="0" tint="-0.499984740745262"/>
      </right>
      <top/>
      <bottom style="dotted">
        <color theme="0" tint="-0.499984740745262"/>
      </bottom>
      <diagonal/>
    </border>
    <border>
      <left style="dotted">
        <color theme="0" tint="-0.499984740745262"/>
      </left>
      <right style="medium">
        <color indexed="64"/>
      </right>
      <top style="dotted">
        <color theme="0" tint="-0.499984740745262"/>
      </top>
      <bottom/>
      <diagonal/>
    </border>
    <border>
      <left style="dotted">
        <color theme="0" tint="-0.499984740745262"/>
      </left>
      <right style="medium">
        <color indexed="64"/>
      </right>
      <top/>
      <bottom style="dotted">
        <color theme="0" tint="-0.499984740745262"/>
      </bottom>
      <diagonal/>
    </border>
    <border>
      <left style="dotted">
        <color theme="1" tint="4.9989318521683403E-2"/>
      </left>
      <right style="dotted">
        <color theme="1" tint="4.9989318521683403E-2"/>
      </right>
      <top style="dotted">
        <color theme="1" tint="4.9989318521683403E-2"/>
      </top>
      <bottom style="medium">
        <color indexed="64"/>
      </bottom>
      <diagonal/>
    </border>
    <border>
      <left style="dashed">
        <color theme="0" tint="-0.34998626667073579"/>
      </left>
      <right/>
      <top style="dashed">
        <color theme="0" tint="-0.34998626667073579"/>
      </top>
      <bottom/>
      <diagonal/>
    </border>
    <border>
      <left style="medium">
        <color indexed="64"/>
      </left>
      <right style="dotted">
        <color theme="0" tint="-0.499984740745262"/>
      </right>
      <top style="dotted">
        <color theme="0" tint="-0.499984740745262"/>
      </top>
      <bottom style="thin">
        <color indexed="64"/>
      </bottom>
      <diagonal/>
    </border>
    <border>
      <left style="dotted">
        <color theme="0" tint="-0.499984740745262"/>
      </left>
      <right style="dotted">
        <color theme="0" tint="-0.499984740745262"/>
      </right>
      <top style="dotted">
        <color theme="0" tint="-0.499984740745262"/>
      </top>
      <bottom style="thin">
        <color indexed="64"/>
      </bottom>
      <diagonal/>
    </border>
    <border>
      <left style="dotted">
        <color theme="0" tint="-0.499984740745262"/>
      </left>
      <right style="medium">
        <color indexed="64"/>
      </right>
      <top style="dotted">
        <color theme="0" tint="-0.499984740745262"/>
      </top>
      <bottom style="thin">
        <color indexed="64"/>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style="dotted">
        <color theme="1" tint="4.9989318521683403E-2"/>
      </bottom>
      <diagonal/>
    </border>
    <border>
      <left style="dotted">
        <color theme="0" tint="-0.499984740745262"/>
      </left>
      <right style="medium">
        <color indexed="64"/>
      </right>
      <top style="medium">
        <color indexed="64"/>
      </top>
      <bottom/>
      <diagonal/>
    </border>
    <border>
      <left style="dotted">
        <color theme="0" tint="-0.499984740745262"/>
      </left>
      <right style="medium">
        <color indexed="64"/>
      </right>
      <top/>
      <bottom/>
      <diagonal/>
    </border>
    <border>
      <left style="medium">
        <color indexed="64"/>
      </left>
      <right style="dotted">
        <color theme="1" tint="4.9989318521683403E-2"/>
      </right>
      <top style="dotted">
        <color theme="1" tint="4.9989318521683403E-2"/>
      </top>
      <bottom style="dotted">
        <color theme="1" tint="4.9989318521683403E-2"/>
      </bottom>
      <diagonal/>
    </border>
    <border>
      <left style="medium">
        <color indexed="64"/>
      </left>
      <right/>
      <top style="dotted">
        <color theme="0" tint="-0.499984740745262"/>
      </top>
      <bottom style="medium">
        <color indexed="64"/>
      </bottom>
      <diagonal/>
    </border>
    <border>
      <left/>
      <right/>
      <top style="dotted">
        <color theme="0" tint="-0.499984740745262"/>
      </top>
      <bottom style="medium">
        <color indexed="64"/>
      </bottom>
      <diagonal/>
    </border>
    <border>
      <left/>
      <right style="medium">
        <color indexed="64"/>
      </right>
      <top style="dotted">
        <color theme="0" tint="-0.499984740745262"/>
      </top>
      <bottom style="medium">
        <color indexed="64"/>
      </bottom>
      <diagonal/>
    </border>
  </borders>
  <cellStyleXfs count="19">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240">
    <xf numFmtId="0" fontId="0" fillId="0" borderId="0" xfId="0"/>
    <xf numFmtId="0" fontId="7" fillId="0" borderId="0" xfId="1" applyFont="1" applyFill="1" applyBorder="1" applyAlignment="1">
      <alignment vertical="center"/>
    </xf>
    <xf numFmtId="0" fontId="7" fillId="0" borderId="0" xfId="1" applyFont="1" applyFill="1" applyBorder="1" applyAlignment="1">
      <alignment vertical="center" wrapText="1"/>
    </xf>
    <xf numFmtId="0" fontId="7" fillId="0" borderId="0" xfId="1" applyFont="1" applyFill="1" applyBorder="1" applyAlignment="1">
      <alignment horizontal="left"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8" fillId="0" borderId="0" xfId="1" applyFont="1" applyFill="1" applyBorder="1" applyAlignment="1">
      <alignment vertical="center"/>
    </xf>
    <xf numFmtId="0" fontId="9" fillId="0" borderId="0" xfId="1" applyFont="1" applyFill="1" applyBorder="1" applyAlignment="1">
      <alignment vertical="center"/>
    </xf>
    <xf numFmtId="0" fontId="10" fillId="0" borderId="0" xfId="1" applyFont="1" applyFill="1" applyBorder="1" applyAlignment="1" applyProtection="1">
      <alignment horizontal="left" vertical="center" wrapText="1"/>
      <protection locked="0"/>
    </xf>
    <xf numFmtId="0" fontId="6" fillId="0" borderId="0" xfId="1" applyFont="1" applyFill="1" applyBorder="1" applyAlignment="1">
      <alignment vertical="center"/>
    </xf>
    <xf numFmtId="0" fontId="10" fillId="0" borderId="0" xfId="1" applyFont="1" applyFill="1" applyBorder="1" applyAlignment="1" applyProtection="1">
      <alignment horizontal="left" vertical="center" wrapText="1" readingOrder="1"/>
      <protection locked="0"/>
    </xf>
    <xf numFmtId="164" fontId="7" fillId="0" borderId="0" xfId="1" applyNumberFormat="1" applyFont="1" applyFill="1" applyBorder="1" applyAlignment="1">
      <alignment vertical="center"/>
    </xf>
    <xf numFmtId="164" fontId="5" fillId="0" borderId="0" xfId="1" applyNumberFormat="1" applyFont="1" applyFill="1" applyBorder="1" applyAlignment="1">
      <alignment vertical="center"/>
    </xf>
    <xf numFmtId="49" fontId="7" fillId="0" borderId="0" xfId="11" applyNumberFormat="1" applyFont="1" applyFill="1" applyBorder="1" applyAlignment="1">
      <alignment vertical="center"/>
    </xf>
    <xf numFmtId="165" fontId="5" fillId="0" borderId="32" xfId="1" applyNumberFormat="1" applyFont="1" applyFill="1" applyBorder="1" applyAlignment="1">
      <alignment horizontal="center" vertical="center" wrapText="1"/>
    </xf>
    <xf numFmtId="0" fontId="12" fillId="0" borderId="0" xfId="1" applyFont="1" applyFill="1" applyBorder="1" applyAlignment="1">
      <alignment vertical="center"/>
    </xf>
    <xf numFmtId="0" fontId="12" fillId="0" borderId="0" xfId="1" applyFont="1" applyFill="1" applyBorder="1" applyAlignment="1">
      <alignment vertical="center" wrapText="1"/>
    </xf>
    <xf numFmtId="164" fontId="12" fillId="0" borderId="0" xfId="1" applyNumberFormat="1" applyFont="1" applyFill="1" applyBorder="1" applyAlignment="1">
      <alignment vertical="center"/>
    </xf>
    <xf numFmtId="15" fontId="5" fillId="2" borderId="0" xfId="1" applyNumberFormat="1" applyFont="1" applyFill="1" applyBorder="1" applyAlignment="1">
      <alignment vertical="center"/>
    </xf>
    <xf numFmtId="15" fontId="5" fillId="0" borderId="0" xfId="1" applyNumberFormat="1" applyFont="1" applyFill="1" applyBorder="1" applyAlignment="1">
      <alignment vertical="center" wrapText="1"/>
    </xf>
    <xf numFmtId="15" fontId="5" fillId="0" borderId="0" xfId="1" applyNumberFormat="1" applyFont="1" applyFill="1" applyBorder="1" applyAlignment="1">
      <alignment vertical="center"/>
    </xf>
    <xf numFmtId="0" fontId="5" fillId="3" borderId="1" xfId="1" applyFont="1" applyFill="1" applyBorder="1" applyAlignment="1">
      <alignment horizontal="center" vertical="center"/>
    </xf>
    <xf numFmtId="0" fontId="5" fillId="3" borderId="0" xfId="1" applyFont="1" applyFill="1" applyBorder="1" applyAlignment="1">
      <alignment vertical="center" wrapText="1"/>
    </xf>
    <xf numFmtId="0" fontId="13" fillId="3" borderId="0" xfId="1" applyNumberFormat="1" applyFont="1" applyFill="1" applyBorder="1" applyAlignment="1">
      <alignment horizontal="center" vertical="center" wrapText="1"/>
    </xf>
    <xf numFmtId="164" fontId="12" fillId="4" borderId="13"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43" fontId="5" fillId="0" borderId="32" xfId="11" applyFont="1" applyFill="1" applyBorder="1" applyAlignment="1">
      <alignment horizontal="center" vertical="center"/>
    </xf>
    <xf numFmtId="165" fontId="5" fillId="2" borderId="32" xfId="1" applyNumberFormat="1" applyFont="1" applyFill="1" applyBorder="1" applyAlignment="1">
      <alignment horizontal="center" vertical="center" wrapText="1"/>
    </xf>
    <xf numFmtId="0" fontId="5" fillId="0" borderId="34" xfId="1" applyFont="1" applyFill="1" applyBorder="1" applyAlignment="1">
      <alignment horizontal="left" vertical="center" wrapText="1"/>
    </xf>
    <xf numFmtId="165" fontId="5" fillId="0" borderId="35" xfId="1" applyNumberFormat="1" applyFont="1" applyFill="1" applyBorder="1" applyAlignment="1">
      <alignment horizontal="center" vertical="center" wrapText="1"/>
    </xf>
    <xf numFmtId="164" fontId="5" fillId="0" borderId="35" xfId="1" applyNumberFormat="1" applyFont="1" applyFill="1" applyBorder="1" applyAlignment="1">
      <alignment horizontal="center" vertical="center"/>
    </xf>
    <xf numFmtId="164" fontId="5" fillId="0" borderId="37" xfId="1" applyNumberFormat="1" applyFont="1" applyFill="1" applyBorder="1" applyAlignment="1">
      <alignment horizontal="center" vertical="center"/>
    </xf>
    <xf numFmtId="164" fontId="12" fillId="3" borderId="23" xfId="1" applyNumberFormat="1" applyFont="1" applyFill="1" applyBorder="1" applyAlignment="1">
      <alignment horizontal="center" vertical="center"/>
    </xf>
    <xf numFmtId="164" fontId="5" fillId="2" borderId="35" xfId="1" applyNumberFormat="1" applyFont="1" applyFill="1" applyBorder="1" applyAlignment="1">
      <alignment horizontal="center" vertical="center"/>
    </xf>
    <xf numFmtId="164" fontId="12" fillId="3" borderId="24" xfId="1" applyNumberFormat="1" applyFont="1" applyFill="1" applyBorder="1" applyAlignment="1">
      <alignment horizontal="center" vertical="center"/>
    </xf>
    <xf numFmtId="165" fontId="5" fillId="2" borderId="29" xfId="1" applyNumberFormat="1" applyFont="1" applyFill="1" applyBorder="1" applyAlignment="1">
      <alignment horizontal="center" vertical="center" wrapText="1"/>
    </xf>
    <xf numFmtId="165" fontId="5" fillId="0" borderId="29" xfId="1" applyNumberFormat="1" applyFont="1" applyFill="1" applyBorder="1" applyAlignment="1">
      <alignment horizontal="center" vertical="center"/>
    </xf>
    <xf numFmtId="165" fontId="5" fillId="2"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xf>
    <xf numFmtId="165" fontId="5" fillId="2" borderId="35" xfId="1" applyNumberFormat="1" applyFont="1" applyFill="1" applyBorder="1" applyAlignment="1">
      <alignment horizontal="center" vertical="center" wrapText="1"/>
    </xf>
    <xf numFmtId="3" fontId="12" fillId="0" borderId="0" xfId="1" applyNumberFormat="1" applyFont="1" applyFill="1" applyBorder="1" applyAlignment="1">
      <alignment horizontal="right" vertical="center"/>
    </xf>
    <xf numFmtId="164" fontId="12" fillId="0" borderId="0" xfId="1" applyNumberFormat="1" applyFont="1" applyFill="1" applyBorder="1" applyAlignment="1">
      <alignment horizontal="center" vertical="center" wrapText="1"/>
    </xf>
    <xf numFmtId="0" fontId="13" fillId="0" borderId="0" xfId="1" applyFont="1" applyFill="1" applyBorder="1" applyAlignment="1">
      <alignment vertical="center"/>
    </xf>
    <xf numFmtId="164" fontId="12" fillId="0" borderId="0"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7" fillId="0" borderId="32" xfId="1" applyNumberFormat="1" applyFont="1" applyFill="1" applyBorder="1" applyAlignment="1">
      <alignment horizontal="center" vertical="center"/>
    </xf>
    <xf numFmtId="0" fontId="5" fillId="2"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0" fontId="5" fillId="0" borderId="28" xfId="1" applyFont="1" applyFill="1" applyBorder="1" applyAlignment="1">
      <alignment horizontal="left" vertical="center" wrapText="1"/>
    </xf>
    <xf numFmtId="0" fontId="5" fillId="0" borderId="31" xfId="1" applyFont="1" applyFill="1" applyBorder="1" applyAlignment="1">
      <alignment horizontal="left" vertical="center" wrapText="1"/>
    </xf>
    <xf numFmtId="165" fontId="5" fillId="0" borderId="29" xfId="1" applyNumberFormat="1" applyFont="1" applyFill="1" applyBorder="1" applyAlignment="1">
      <alignment horizontal="center" vertical="center" wrapText="1"/>
    </xf>
    <xf numFmtId="0" fontId="5" fillId="0" borderId="31" xfId="4" applyFont="1" applyFill="1" applyBorder="1" applyAlignment="1">
      <alignment horizontal="left" vertical="center" wrapText="1"/>
    </xf>
    <xf numFmtId="0" fontId="7" fillId="0" borderId="31" xfId="1" applyFont="1" applyFill="1" applyBorder="1" applyAlignment="1">
      <alignment horizontal="left" vertical="center" wrapText="1"/>
    </xf>
    <xf numFmtId="0" fontId="7" fillId="0" borderId="31" xfId="4" applyFont="1" applyFill="1" applyBorder="1" applyAlignment="1">
      <alignment horizontal="left" vertical="center" wrapText="1"/>
    </xf>
    <xf numFmtId="164" fontId="5" fillId="0" borderId="46"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5" fontId="6" fillId="0" borderId="32" xfId="1" applyNumberFormat="1" applyFont="1" applyFill="1" applyBorder="1" applyAlignment="1">
      <alignment horizontal="center" vertical="center" wrapText="1"/>
    </xf>
    <xf numFmtId="164" fontId="6" fillId="0" borderId="32" xfId="1" applyNumberFormat="1" applyFont="1" applyFill="1" applyBorder="1" applyAlignment="1">
      <alignment horizontal="center" vertical="center"/>
    </xf>
    <xf numFmtId="164" fontId="7" fillId="0" borderId="37" xfId="1" applyNumberFormat="1" applyFont="1" applyFill="1" applyBorder="1" applyAlignment="1">
      <alignment horizontal="center" vertical="center"/>
    </xf>
    <xf numFmtId="164" fontId="7" fillId="0" borderId="35"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46"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7" fillId="2" borderId="32" xfId="1" applyNumberFormat="1" applyFont="1" applyFill="1" applyBorder="1" applyAlignment="1">
      <alignment horizontal="center" vertical="center" wrapText="1"/>
    </xf>
    <xf numFmtId="164" fontId="7" fillId="2" borderId="32" xfId="1" applyNumberFormat="1" applyFont="1" applyFill="1" applyBorder="1" applyAlignment="1">
      <alignment horizontal="center" vertical="center"/>
    </xf>
    <xf numFmtId="0" fontId="7" fillId="0" borderId="31" xfId="1" applyFont="1" applyFill="1" applyBorder="1" applyAlignment="1">
      <alignment vertical="center" wrapText="1"/>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4" fontId="7" fillId="0" borderId="29" xfId="1" applyNumberFormat="1" applyFont="1" applyFill="1" applyBorder="1" applyAlignment="1">
      <alignment horizontal="center" vertical="center"/>
    </xf>
    <xf numFmtId="49" fontId="7" fillId="0" borderId="33" xfId="1" applyNumberFormat="1" applyFont="1" applyFill="1" applyBorder="1" applyAlignment="1">
      <alignment horizontal="left" vertical="center" wrapText="1"/>
    </xf>
    <xf numFmtId="49" fontId="8" fillId="0" borderId="0" xfId="11" applyNumberFormat="1" applyFont="1" applyFill="1" applyBorder="1" applyAlignment="1">
      <alignment vertical="center"/>
    </xf>
    <xf numFmtId="49" fontId="7" fillId="3" borderId="2" xfId="12" applyNumberFormat="1" applyFont="1" applyFill="1" applyBorder="1" applyAlignment="1">
      <alignment horizontal="center" vertical="center" wrapText="1"/>
    </xf>
    <xf numFmtId="49" fontId="16" fillId="4" borderId="2" xfId="1" applyNumberFormat="1" applyFont="1" applyFill="1" applyBorder="1" applyAlignment="1">
      <alignment horizontal="center" vertical="center"/>
    </xf>
    <xf numFmtId="49" fontId="7" fillId="0" borderId="36" xfId="1" applyNumberFormat="1" applyFont="1" applyFill="1" applyBorder="1" applyAlignment="1">
      <alignment horizontal="left" vertical="center" wrapText="1"/>
    </xf>
    <xf numFmtId="49" fontId="7" fillId="0" borderId="30" xfId="1" applyNumberFormat="1" applyFont="1" applyFill="1" applyBorder="1" applyAlignment="1">
      <alignment horizontal="left" vertical="center" wrapText="1"/>
    </xf>
    <xf numFmtId="49" fontId="16" fillId="3" borderId="22" xfId="1" applyNumberFormat="1" applyFont="1" applyFill="1" applyBorder="1" applyAlignment="1">
      <alignment horizontal="center" vertical="center"/>
    </xf>
    <xf numFmtId="49" fontId="16" fillId="3" borderId="27" xfId="1" applyNumberFormat="1" applyFont="1" applyFill="1" applyBorder="1" applyAlignment="1">
      <alignment horizontal="center" vertical="center"/>
    </xf>
    <xf numFmtId="0" fontId="7" fillId="0" borderId="28" xfId="1" applyFont="1" applyFill="1" applyBorder="1" applyAlignment="1">
      <alignment horizontal="left" vertical="center" wrapText="1"/>
    </xf>
    <xf numFmtId="165" fontId="7" fillId="0" borderId="29" xfId="1" applyNumberFormat="1" applyFont="1" applyFill="1" applyBorder="1" applyAlignment="1">
      <alignment horizontal="center" vertical="center" wrapText="1"/>
    </xf>
    <xf numFmtId="49" fontId="6" fillId="0" borderId="47" xfId="1" applyNumberFormat="1" applyFont="1" applyFill="1" applyBorder="1" applyAlignment="1">
      <alignment horizontal="left" vertical="center" wrapText="1"/>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7" fillId="0" borderId="32"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0" fontId="7" fillId="0" borderId="31" xfId="1" applyFont="1" applyFill="1" applyBorder="1" applyAlignment="1">
      <alignment horizontal="left" vertical="center" wrapText="1"/>
    </xf>
    <xf numFmtId="165" fontId="7" fillId="0" borderId="39"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0" fontId="5" fillId="0" borderId="31" xfId="1" applyFont="1" applyFill="1" applyBorder="1" applyAlignment="1">
      <alignment horizontal="left" vertical="center" wrapText="1"/>
    </xf>
    <xf numFmtId="164" fontId="5" fillId="0" borderId="38" xfId="1" applyNumberFormat="1" applyFont="1" applyFill="1" applyBorder="1" applyAlignment="1">
      <alignment horizontal="center" vertical="center"/>
    </xf>
    <xf numFmtId="0" fontId="5" fillId="0" borderId="31" xfId="4" applyFont="1" applyFill="1" applyBorder="1" applyAlignment="1">
      <alignment horizontal="left" vertical="center" wrapText="1"/>
    </xf>
    <xf numFmtId="0" fontId="7"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38" xfId="1" applyNumberFormat="1" applyFont="1" applyFill="1" applyBorder="1" applyAlignment="1">
      <alignment horizontal="center" vertical="center" wrapText="1"/>
    </xf>
    <xf numFmtId="165" fontId="15" fillId="2" borderId="38" xfId="1" applyNumberFormat="1" applyFont="1" applyFill="1" applyBorder="1" applyAlignment="1">
      <alignment horizontal="center" vertical="center" wrapText="1"/>
    </xf>
    <xf numFmtId="165" fontId="5" fillId="0" borderId="46" xfId="1" applyNumberFormat="1" applyFont="1" applyFill="1" applyBorder="1" applyAlignment="1">
      <alignment horizontal="center" vertical="center" wrapText="1"/>
    </xf>
    <xf numFmtId="164" fontId="17" fillId="0" borderId="32" xfId="1" applyNumberFormat="1" applyFont="1" applyFill="1" applyBorder="1" applyAlignment="1">
      <alignment horizontal="center" vertical="center"/>
    </xf>
    <xf numFmtId="43" fontId="5" fillId="0" borderId="39" xfId="11" applyFont="1" applyFill="1" applyBorder="1" applyAlignment="1">
      <alignment horizontal="center" vertical="center"/>
    </xf>
    <xf numFmtId="0" fontId="5" fillId="0" borderId="48" xfId="1" applyFont="1" applyFill="1" applyBorder="1" applyAlignment="1">
      <alignment horizontal="left" vertical="center" wrapText="1"/>
    </xf>
    <xf numFmtId="165" fontId="5" fillId="0" borderId="49" xfId="1" applyNumberFormat="1" applyFont="1" applyFill="1" applyBorder="1" applyAlignment="1">
      <alignment horizontal="center" vertical="center" wrapText="1"/>
    </xf>
    <xf numFmtId="164" fontId="5" fillId="0" borderId="49" xfId="1" applyNumberFormat="1" applyFont="1" applyFill="1" applyBorder="1" applyAlignment="1">
      <alignment horizontal="center" vertical="center"/>
    </xf>
    <xf numFmtId="49" fontId="7" fillId="0" borderId="50"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0" fontId="5" fillId="0" borderId="31" xfId="4"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49" fontId="7" fillId="0" borderId="33" xfId="1" applyNumberFormat="1" applyFont="1" applyFill="1" applyBorder="1" applyAlignment="1" applyProtection="1">
      <alignment horizontal="left" vertical="center" wrapText="1"/>
      <protection locked="0"/>
    </xf>
    <xf numFmtId="49" fontId="5" fillId="0" borderId="33"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0" fontId="5" fillId="0"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5" fillId="0" borderId="29" xfId="1" applyNumberFormat="1" applyFont="1" applyFill="1" applyBorder="1" applyAlignment="1">
      <alignment horizontal="center" vertical="center"/>
    </xf>
    <xf numFmtId="49" fontId="7" fillId="0" borderId="45" xfId="1" applyNumberFormat="1" applyFont="1" applyFill="1" applyBorder="1" applyAlignment="1" applyProtection="1">
      <alignment horizontal="left" vertical="center" wrapText="1"/>
      <protection locked="0"/>
    </xf>
    <xf numFmtId="164" fontId="7" fillId="0" borderId="29" xfId="1" applyNumberFormat="1" applyFont="1" applyFill="1" applyBorder="1" applyAlignment="1">
      <alignment horizontal="center" vertical="center"/>
    </xf>
    <xf numFmtId="49" fontId="7" fillId="0" borderId="30" xfId="1" applyNumberFormat="1" applyFont="1" applyFill="1" applyBorder="1" applyAlignment="1">
      <alignment horizontal="left" vertical="center" wrapText="1"/>
    </xf>
    <xf numFmtId="164" fontId="5" fillId="0" borderId="38" xfId="1" applyNumberFormat="1" applyFont="1" applyFill="1" applyBorder="1" applyAlignment="1">
      <alignment horizontal="center" vertical="center"/>
    </xf>
    <xf numFmtId="164" fontId="7" fillId="0" borderId="38"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164" fontId="7"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7" fillId="0" borderId="38" xfId="1" applyNumberFormat="1" applyFont="1" applyFill="1" applyBorder="1" applyAlignment="1">
      <alignment horizontal="center" vertical="center"/>
    </xf>
    <xf numFmtId="164" fontId="7" fillId="2" borderId="32" xfId="1" applyNumberFormat="1" applyFont="1" applyFill="1" applyBorder="1" applyAlignment="1">
      <alignment horizontal="center" vertical="center"/>
    </xf>
    <xf numFmtId="164" fontId="7" fillId="2" borderId="29" xfId="1" applyNumberFormat="1" applyFont="1" applyFill="1" applyBorder="1" applyAlignment="1">
      <alignment horizontal="center" vertical="center"/>
    </xf>
    <xf numFmtId="0" fontId="7" fillId="2" borderId="31" xfId="1" applyFont="1" applyFill="1" applyBorder="1" applyAlignment="1">
      <alignment vertical="center" wrapText="1"/>
    </xf>
    <xf numFmtId="164" fontId="7" fillId="0" borderId="38" xfId="1" quotePrefix="1" applyNumberFormat="1" applyFont="1" applyFill="1" applyBorder="1" applyAlignment="1">
      <alignment horizontal="center" vertical="center"/>
    </xf>
    <xf numFmtId="164" fontId="7" fillId="2" borderId="38" xfId="1" applyNumberFormat="1" applyFont="1" applyFill="1" applyBorder="1" applyAlignment="1">
      <alignment horizontal="center" vertical="center"/>
    </xf>
    <xf numFmtId="164" fontId="7" fillId="2" borderId="35"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4" fontId="7" fillId="0" borderId="39" xfId="1" applyNumberFormat="1" applyFont="1" applyFill="1" applyBorder="1" applyAlignment="1">
      <alignment horizontal="center" vertical="center"/>
    </xf>
    <xf numFmtId="164" fontId="10" fillId="0" borderId="41" xfId="1" applyNumberFormat="1" applyFont="1" applyFill="1" applyBorder="1" applyAlignment="1">
      <alignment horizontal="center" vertical="center"/>
    </xf>
    <xf numFmtId="43" fontId="10" fillId="0" borderId="32" xfId="11" applyFont="1" applyFill="1" applyBorder="1" applyAlignment="1">
      <alignment horizontal="center" vertical="center"/>
    </xf>
    <xf numFmtId="49" fontId="7" fillId="0" borderId="45" xfId="1" applyNumberFormat="1" applyFont="1" applyFill="1" applyBorder="1" applyAlignment="1">
      <alignment horizontal="left" vertical="center" wrapText="1"/>
    </xf>
    <xf numFmtId="0" fontId="7" fillId="0" borderId="43" xfId="1" applyFont="1" applyFill="1" applyBorder="1" applyAlignment="1">
      <alignment horizontal="left" vertical="center" wrapText="1"/>
    </xf>
    <xf numFmtId="164" fontId="7" fillId="0" borderId="41" xfId="1" applyNumberFormat="1" applyFont="1" applyFill="1" applyBorder="1" applyAlignment="1">
      <alignment horizontal="center" vertical="center"/>
    </xf>
    <xf numFmtId="164" fontId="7" fillId="2" borderId="41"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7" fillId="2" borderId="29" xfId="1" applyNumberFormat="1" applyFont="1" applyFill="1" applyBorder="1" applyAlignment="1">
      <alignment horizontal="center" vertical="center"/>
    </xf>
    <xf numFmtId="49" fontId="7" fillId="0" borderId="33" xfId="1" applyNumberFormat="1" applyFont="1" applyFill="1" applyBorder="1" applyAlignment="1">
      <alignment horizontal="left" vertical="center" wrapText="1"/>
    </xf>
    <xf numFmtId="0" fontId="5" fillId="2" borderId="31" xfId="1" applyFont="1" applyFill="1" applyBorder="1" applyAlignment="1">
      <alignment horizontal="left" vertical="center" wrapText="1"/>
    </xf>
    <xf numFmtId="0" fontId="5" fillId="0"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0" fontId="12" fillId="3" borderId="25" xfId="1" applyFont="1" applyFill="1" applyBorder="1" applyAlignment="1">
      <alignment horizontal="left" vertical="center"/>
    </xf>
    <xf numFmtId="0" fontId="12" fillId="3" borderId="26" xfId="1" applyFont="1" applyFill="1" applyBorder="1" applyAlignment="1">
      <alignment horizontal="left" vertical="center"/>
    </xf>
    <xf numFmtId="0" fontId="12" fillId="3" borderId="27" xfId="1" applyFont="1" applyFill="1" applyBorder="1" applyAlignment="1">
      <alignment horizontal="left" vertical="center"/>
    </xf>
    <xf numFmtId="164" fontId="7" fillId="2" borderId="32" xfId="1" applyNumberFormat="1" applyFont="1" applyFill="1" applyBorder="1" applyAlignment="1">
      <alignment horizontal="center" vertical="center"/>
    </xf>
    <xf numFmtId="165" fontId="5" fillId="0" borderId="39" xfId="1" applyNumberFormat="1" applyFont="1" applyFill="1" applyBorder="1" applyAlignment="1">
      <alignment horizontal="center" vertical="center" wrapText="1"/>
    </xf>
    <xf numFmtId="165" fontId="5" fillId="0" borderId="40" xfId="1" applyNumberFormat="1" applyFont="1" applyFill="1" applyBorder="1" applyAlignment="1">
      <alignment horizontal="center" vertical="center" wrapText="1"/>
    </xf>
    <xf numFmtId="165" fontId="5" fillId="0" borderId="41" xfId="1" applyNumberFormat="1" applyFont="1" applyFill="1" applyBorder="1" applyAlignment="1">
      <alignment horizontal="center" vertical="center" wrapText="1"/>
    </xf>
    <xf numFmtId="164" fontId="5" fillId="0" borderId="39" xfId="1" applyNumberFormat="1" applyFont="1" applyFill="1" applyBorder="1" applyAlignment="1">
      <alignment horizontal="center" vertical="center"/>
    </xf>
    <xf numFmtId="164" fontId="5" fillId="0" borderId="40"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0" fontId="5" fillId="0" borderId="42" xfId="1" applyFont="1" applyFill="1" applyBorder="1" applyAlignment="1">
      <alignment horizontal="left" vertical="center" wrapText="1"/>
    </xf>
    <xf numFmtId="0" fontId="5" fillId="0" borderId="43" xfId="1" applyFont="1" applyFill="1" applyBorder="1" applyAlignment="1">
      <alignment horizontal="left" vertical="center" wrapText="1"/>
    </xf>
    <xf numFmtId="165" fontId="7" fillId="0" borderId="32"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164" fontId="7" fillId="0" borderId="41"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49" fontId="7" fillId="0" borderId="53" xfId="1" applyNumberFormat="1" applyFont="1" applyFill="1" applyBorder="1" applyAlignment="1" applyProtection="1">
      <alignment horizontal="left" vertical="center" wrapText="1"/>
      <protection locked="0"/>
    </xf>
    <xf numFmtId="49" fontId="7" fillId="0" borderId="54" xfId="1" applyNumberFormat="1" applyFont="1" applyFill="1" applyBorder="1" applyAlignment="1" applyProtection="1">
      <alignment horizontal="left" vertical="center" wrapText="1"/>
      <protection locked="0"/>
    </xf>
    <xf numFmtId="49" fontId="7" fillId="0" borderId="45" xfId="1" applyNumberFormat="1" applyFont="1" applyFill="1" applyBorder="1" applyAlignment="1" applyProtection="1">
      <alignment horizontal="left" vertical="center" wrapText="1"/>
      <protection locked="0"/>
    </xf>
    <xf numFmtId="0" fontId="5" fillId="0" borderId="28" xfId="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0" fontId="1" fillId="0" borderId="32" xfId="0" applyFont="1" applyBorder="1" applyAlignment="1">
      <alignment horizontal="center" vertical="center"/>
    </xf>
    <xf numFmtId="49" fontId="16" fillId="4" borderId="9" xfId="12" applyNumberFormat="1" applyFont="1" applyFill="1" applyBorder="1" applyAlignment="1">
      <alignment horizontal="center" vertical="center" wrapText="1"/>
    </xf>
    <xf numFmtId="49" fontId="16" fillId="4" borderId="12" xfId="12" applyNumberFormat="1" applyFont="1" applyFill="1" applyBorder="1" applyAlignment="1">
      <alignment horizontal="center" vertical="center" wrapText="1"/>
    </xf>
    <xf numFmtId="49" fontId="7" fillId="0" borderId="30" xfId="1" applyNumberFormat="1" applyFont="1" applyFill="1" applyBorder="1" applyAlignment="1">
      <alignment horizontal="left" vertical="center" wrapText="1"/>
    </xf>
    <xf numFmtId="0" fontId="12" fillId="4" borderId="14" xfId="1" applyNumberFormat="1" applyFont="1" applyFill="1" applyBorder="1" applyAlignment="1">
      <alignment horizontal="center" vertical="center" wrapText="1"/>
    </xf>
    <xf numFmtId="0" fontId="12" fillId="4" borderId="15" xfId="1" applyNumberFormat="1" applyFont="1" applyFill="1" applyBorder="1" applyAlignment="1">
      <alignment horizontal="center" vertical="center" wrapText="1"/>
    </xf>
    <xf numFmtId="0" fontId="12" fillId="4" borderId="7" xfId="1" applyNumberFormat="1" applyFont="1" applyFill="1" applyBorder="1" applyAlignment="1">
      <alignment horizontal="center" vertical="center" wrapText="1"/>
    </xf>
    <xf numFmtId="0" fontId="12" fillId="4" borderId="8" xfId="1" applyNumberFormat="1" applyFont="1" applyFill="1" applyBorder="1" applyAlignment="1">
      <alignment horizontal="center" vertical="center" wrapText="1"/>
    </xf>
    <xf numFmtId="0" fontId="12" fillId="4" borderId="6" xfId="1" applyNumberFormat="1" applyFont="1" applyFill="1" applyBorder="1" applyAlignment="1">
      <alignment horizontal="center" vertical="center" wrapText="1"/>
    </xf>
    <xf numFmtId="164" fontId="7" fillId="0" borderId="38" xfId="1" applyNumberFormat="1" applyFont="1" applyFill="1" applyBorder="1" applyAlignment="1">
      <alignment horizontal="center" vertical="center"/>
    </xf>
    <xf numFmtId="164" fontId="5" fillId="0" borderId="51" xfId="1" applyNumberFormat="1" applyFont="1" applyFill="1" applyBorder="1" applyAlignment="1">
      <alignment horizontal="center" vertical="center"/>
    </xf>
    <xf numFmtId="164" fontId="5" fillId="0" borderId="52" xfId="1" applyNumberFormat="1" applyFont="1" applyFill="1" applyBorder="1" applyAlignment="1">
      <alignment horizontal="center" vertical="center"/>
    </xf>
    <xf numFmtId="0" fontId="5" fillId="2" borderId="28"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12" fillId="4" borderId="5" xfId="1" applyNumberFormat="1" applyFont="1" applyFill="1" applyBorder="1" applyAlignment="1">
      <alignment horizontal="center" vertical="center" textRotation="90" wrapText="1"/>
    </xf>
    <xf numFmtId="0" fontId="12" fillId="4" borderId="11" xfId="1" applyNumberFormat="1" applyFont="1" applyFill="1" applyBorder="1" applyAlignment="1">
      <alignment horizontal="center" vertical="center" textRotation="90" wrapText="1"/>
    </xf>
    <xf numFmtId="0" fontId="12" fillId="4" borderId="16" xfId="1" applyNumberFormat="1" applyFont="1" applyFill="1" applyBorder="1" applyAlignment="1">
      <alignment horizontal="center" vertical="center" wrapText="1"/>
    </xf>
    <xf numFmtId="0" fontId="12" fillId="4" borderId="4"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17" xfId="1" applyNumberFormat="1" applyFont="1" applyFill="1" applyBorder="1" applyAlignment="1">
      <alignment horizontal="center" vertical="center" wrapText="1"/>
    </xf>
    <xf numFmtId="0" fontId="12" fillId="4" borderId="18" xfId="1" applyNumberFormat="1" applyFont="1" applyFill="1" applyBorder="1" applyAlignment="1">
      <alignment horizontal="center" vertical="center" wrapText="1"/>
    </xf>
    <xf numFmtId="0" fontId="12" fillId="4" borderId="19" xfId="1" applyNumberFormat="1" applyFont="1" applyFill="1" applyBorder="1" applyAlignment="1">
      <alignment horizontal="center" vertical="center" wrapText="1"/>
    </xf>
    <xf numFmtId="0" fontId="12" fillId="4" borderId="1" xfId="1" applyFont="1" applyFill="1" applyBorder="1" applyAlignment="1">
      <alignment horizontal="left" vertical="center"/>
    </xf>
    <xf numFmtId="0" fontId="12" fillId="4" borderId="3" xfId="1" applyFont="1" applyFill="1" applyBorder="1" applyAlignment="1">
      <alignment horizontal="left" vertical="center"/>
    </xf>
    <xf numFmtId="0" fontId="12" fillId="4" borderId="2" xfId="1" applyFont="1" applyFill="1" applyBorder="1" applyAlignment="1">
      <alignment horizontal="left" vertical="center"/>
    </xf>
    <xf numFmtId="165" fontId="5" fillId="0" borderId="29" xfId="1" applyNumberFormat="1" applyFont="1" applyFill="1" applyBorder="1" applyAlignment="1">
      <alignment horizontal="center" vertical="center" wrapText="1"/>
    </xf>
    <xf numFmtId="165" fontId="7" fillId="0" borderId="39" xfId="1" applyNumberFormat="1" applyFont="1" applyFill="1" applyBorder="1" applyAlignment="1">
      <alignment horizontal="center" vertical="center" wrapText="1"/>
    </xf>
    <xf numFmtId="165" fontId="7" fillId="0" borderId="41" xfId="1" applyNumberFormat="1" applyFont="1" applyFill="1" applyBorder="1" applyAlignment="1">
      <alignment horizontal="center" vertical="center" wrapText="1"/>
    </xf>
    <xf numFmtId="0" fontId="7" fillId="0" borderId="42" xfId="1" applyFont="1" applyFill="1" applyBorder="1" applyAlignment="1">
      <alignment horizontal="left" vertical="center" wrapText="1"/>
    </xf>
    <xf numFmtId="0" fontId="7" fillId="0" borderId="43" xfId="1" applyFont="1" applyFill="1" applyBorder="1" applyAlignment="1">
      <alignment horizontal="left" vertical="center" wrapText="1"/>
    </xf>
    <xf numFmtId="164" fontId="5" fillId="2" borderId="32" xfId="1" applyNumberFormat="1" applyFont="1" applyFill="1" applyBorder="1" applyAlignment="1">
      <alignment horizontal="center" vertical="center"/>
    </xf>
    <xf numFmtId="0" fontId="7" fillId="0" borderId="0" xfId="1" applyFont="1" applyFill="1" applyBorder="1" applyAlignment="1">
      <alignment horizontal="left" vertical="center" wrapText="1"/>
    </xf>
    <xf numFmtId="0" fontId="12" fillId="3" borderId="20" xfId="1" applyFont="1" applyFill="1" applyBorder="1" applyAlignment="1">
      <alignment horizontal="left" vertical="center"/>
    </xf>
    <xf numFmtId="0" fontId="12" fillId="3" borderId="21" xfId="1" applyFont="1" applyFill="1" applyBorder="1" applyAlignment="1">
      <alignment horizontal="left" vertical="center"/>
    </xf>
    <xf numFmtId="0" fontId="12" fillId="3" borderId="22" xfId="1" applyFont="1" applyFill="1" applyBorder="1" applyAlignment="1">
      <alignment horizontal="left" vertical="center"/>
    </xf>
    <xf numFmtId="164" fontId="7" fillId="0" borderId="51" xfId="1" quotePrefix="1" applyNumberFormat="1" applyFont="1" applyFill="1" applyBorder="1" applyAlignment="1">
      <alignment horizontal="center" vertical="center"/>
    </xf>
    <xf numFmtId="164" fontId="7" fillId="0" borderId="52" xfId="1" quotePrefix="1" applyNumberFormat="1" applyFont="1" applyFill="1" applyBorder="1" applyAlignment="1">
      <alignment horizontal="center" vertical="center"/>
    </xf>
    <xf numFmtId="0" fontId="5" fillId="0" borderId="31" xfId="4" applyFont="1" applyFill="1" applyBorder="1" applyAlignment="1">
      <alignment horizontal="left" vertical="center" wrapText="1"/>
    </xf>
    <xf numFmtId="164" fontId="5" fillId="0" borderId="38" xfId="1" applyNumberFormat="1" applyFont="1" applyFill="1" applyBorder="1" applyAlignment="1">
      <alignment horizontal="center" vertical="center"/>
    </xf>
    <xf numFmtId="165" fontId="15" fillId="0" borderId="29" xfId="1" applyNumberFormat="1" applyFont="1" applyFill="1" applyBorder="1" applyAlignment="1">
      <alignment horizontal="center" vertical="center" wrapText="1"/>
    </xf>
    <xf numFmtId="165" fontId="15" fillId="0" borderId="32" xfId="1" applyNumberFormat="1" applyFont="1" applyFill="1" applyBorder="1" applyAlignment="1">
      <alignment horizontal="center" vertical="center" wrapText="1"/>
    </xf>
    <xf numFmtId="164" fontId="7" fillId="2" borderId="29" xfId="1" applyNumberFormat="1" applyFont="1" applyFill="1" applyBorder="1" applyAlignment="1">
      <alignment horizontal="center" vertical="center"/>
    </xf>
    <xf numFmtId="164" fontId="7" fillId="2" borderId="39" xfId="1" applyNumberFormat="1" applyFont="1" applyFill="1" applyBorder="1" applyAlignment="1">
      <alignment horizontal="center" vertical="center"/>
    </xf>
    <xf numFmtId="164" fontId="7" fillId="2" borderId="40" xfId="1" applyNumberFormat="1" applyFont="1" applyFill="1" applyBorder="1" applyAlignment="1">
      <alignment horizontal="center" vertical="center"/>
    </xf>
    <xf numFmtId="164" fontId="7" fillId="2" borderId="41"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49" fontId="7" fillId="0" borderId="45" xfId="1" applyNumberFormat="1" applyFont="1" applyFill="1" applyBorder="1" applyAlignment="1">
      <alignment horizontal="left" vertical="center" wrapText="1"/>
    </xf>
    <xf numFmtId="0" fontId="5" fillId="0" borderId="55" xfId="1" applyFont="1" applyFill="1" applyBorder="1" applyAlignment="1">
      <alignment horizontal="left" vertical="center" wrapText="1"/>
    </xf>
    <xf numFmtId="165" fontId="7" fillId="2" borderId="29" xfId="1" applyNumberFormat="1" applyFont="1" applyFill="1" applyBorder="1" applyAlignment="1">
      <alignment horizontal="center" vertical="center" wrapText="1"/>
    </xf>
    <xf numFmtId="165" fontId="7" fillId="2" borderId="41" xfId="1" applyNumberFormat="1" applyFont="1" applyFill="1" applyBorder="1" applyAlignment="1">
      <alignment horizontal="center" vertical="center" wrapText="1"/>
    </xf>
    <xf numFmtId="49" fontId="7" fillId="2" borderId="45" xfId="1" applyNumberFormat="1" applyFont="1" applyFill="1" applyBorder="1" applyAlignment="1">
      <alignment horizontal="left" vertical="center" wrapText="1"/>
    </xf>
    <xf numFmtId="0" fontId="12" fillId="3" borderId="1" xfId="1" applyFont="1" applyFill="1" applyBorder="1" applyAlignment="1">
      <alignment horizontal="left" vertical="center"/>
    </xf>
    <xf numFmtId="0" fontId="12" fillId="3" borderId="3" xfId="1" applyFont="1" applyFill="1" applyBorder="1" applyAlignment="1">
      <alignment horizontal="left" vertical="center"/>
    </xf>
    <xf numFmtId="0" fontId="12" fillId="3" borderId="2" xfId="1" applyFont="1" applyFill="1" applyBorder="1" applyAlignment="1">
      <alignment horizontal="left" vertical="center"/>
    </xf>
    <xf numFmtId="0" fontId="12" fillId="3" borderId="56" xfId="1" applyFont="1" applyFill="1" applyBorder="1" applyAlignment="1">
      <alignment horizontal="left" vertical="center"/>
    </xf>
    <xf numFmtId="0" fontId="12" fillId="3" borderId="57" xfId="1" applyFont="1" applyFill="1" applyBorder="1" applyAlignment="1">
      <alignment horizontal="left" vertical="center"/>
    </xf>
    <xf numFmtId="0" fontId="12" fillId="3" borderId="58" xfId="1" applyFont="1" applyFill="1" applyBorder="1" applyAlignment="1">
      <alignment horizontal="left" vertical="center"/>
    </xf>
  </cellXfs>
  <cellStyles count="19">
    <cellStyle name="Comma" xfId="11" builtinId="3"/>
    <cellStyle name="Comma 2" xfId="5"/>
    <cellStyle name="Comma 2 2" xfId="2"/>
    <cellStyle name="Comma 2 2 2" xfId="16"/>
    <cellStyle name="Comma 2 2 3" xfId="13"/>
    <cellStyle name="Comma 2 3" xfId="6"/>
    <cellStyle name="Comma 3" xfId="7"/>
    <cellStyle name="Normal" xfId="0" builtinId="0"/>
    <cellStyle name="Normal 2" xfId="8"/>
    <cellStyle name="Normal 2 2" xfId="4"/>
    <cellStyle name="Normal 2 3" xfId="18"/>
    <cellStyle name="Normal 2 4" xfId="15"/>
    <cellStyle name="Normal 3" xfId="9"/>
    <cellStyle name="Normal 4" xfId="10"/>
    <cellStyle name="Normal 5" xfId="1"/>
    <cellStyle name="Percent" xfId="12" builtinId="5"/>
    <cellStyle name="Percent 2" xfId="3"/>
    <cellStyle name="Percent 2 2" xfId="17"/>
    <cellStyle name="Percent 2 3" xfId="14"/>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C0C0C0"/>
      <color rgb="FF2C69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na.rusieshvili\AppData\Local\Microsoft\Windows\INetCache\Content.Outlook\MRNAUQBZ\WEB_2020_January_G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2019"/>
    </sheetNames>
    <sheetDataSet>
      <sheetData sheetId="0">
        <row r="98">
          <cell r="G98">
            <v>1182300</v>
          </cell>
          <cell r="H98">
            <v>46900</v>
          </cell>
          <cell r="I98">
            <v>22837.37905</v>
          </cell>
          <cell r="J98">
            <v>1054.4264000000001</v>
          </cell>
          <cell r="K98">
            <v>4953772.1168650007</v>
          </cell>
          <cell r="L98">
            <v>226795.11923999997</v>
          </cell>
        </row>
      </sheetData>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104"/>
  <sheetViews>
    <sheetView showGridLines="0" tabSelected="1" view="pageBreakPreview" topLeftCell="A88" zoomScale="70" zoomScaleNormal="60" zoomScaleSheetLayoutView="70" zoomScalePageLayoutView="40" workbookViewId="0">
      <selection activeCell="A66" sqref="A66"/>
    </sheetView>
  </sheetViews>
  <sheetFormatPr defaultColWidth="9.33203125" defaultRowHeight="16.5"/>
  <cols>
    <col min="1" max="1" width="64" style="4" customWidth="1"/>
    <col min="2" max="2" width="12.77734375" style="5" bestFit="1" customWidth="1"/>
    <col min="3" max="3" width="12.6640625" style="2" bestFit="1" customWidth="1"/>
    <col min="4" max="4" width="10.5546875" style="4" customWidth="1"/>
    <col min="5" max="5" width="13.109375" style="4" bestFit="1" customWidth="1"/>
    <col min="6" max="6" width="9.77734375" style="4" customWidth="1"/>
    <col min="7" max="7" width="17.6640625" style="1" customWidth="1"/>
    <col min="8" max="8" width="14.109375" style="4" customWidth="1"/>
    <col min="9" max="9" width="15.44140625" style="4" customWidth="1"/>
    <col min="10" max="10" width="13.21875" style="4" customWidth="1"/>
    <col min="11" max="11" width="17" style="4" customWidth="1"/>
    <col min="12" max="12" width="16.109375" style="4" customWidth="1"/>
    <col min="13" max="13" width="114.6640625" style="13" customWidth="1"/>
    <col min="14" max="14" width="9.33203125" style="1" customWidth="1"/>
    <col min="15" max="18" width="9.33203125" style="1"/>
    <col min="19" max="19" width="9.33203125" style="1" customWidth="1"/>
    <col min="20" max="16384" width="9.33203125" style="1"/>
  </cols>
  <sheetData>
    <row r="1" spans="1:13" ht="6" customHeight="1">
      <c r="A1" s="1"/>
      <c r="B1" s="2"/>
      <c r="D1" s="1"/>
      <c r="E1" s="1"/>
      <c r="F1" s="1"/>
      <c r="H1" s="1"/>
      <c r="I1" s="1"/>
      <c r="J1" s="1"/>
      <c r="K1" s="1"/>
      <c r="L1" s="1"/>
    </row>
    <row r="2" spans="1:13" s="6" customFormat="1" ht="29.45" customHeight="1">
      <c r="A2" s="15" t="s">
        <v>104</v>
      </c>
      <c r="B2" s="16"/>
      <c r="C2" s="16"/>
      <c r="D2" s="15"/>
      <c r="E2" s="15"/>
      <c r="F2" s="15"/>
      <c r="G2" s="15"/>
      <c r="H2" s="15"/>
      <c r="I2" s="15"/>
      <c r="J2" s="15"/>
      <c r="K2" s="17"/>
      <c r="L2" s="15"/>
      <c r="M2" s="75"/>
    </row>
    <row r="3" spans="1:13" ht="27" customHeight="1" thickBot="1">
      <c r="A3" s="18" t="s">
        <v>152</v>
      </c>
      <c r="B3" s="19"/>
      <c r="C3" s="19"/>
      <c r="D3" s="20"/>
      <c r="E3" s="20"/>
      <c r="F3" s="20"/>
      <c r="G3" s="20"/>
      <c r="H3" s="20"/>
      <c r="I3" s="20"/>
      <c r="J3" s="20"/>
      <c r="K3" s="20"/>
      <c r="L3" s="20"/>
    </row>
    <row r="4" spans="1:13" s="6" customFormat="1" ht="54.6" customHeight="1">
      <c r="A4" s="200" t="s">
        <v>9</v>
      </c>
      <c r="B4" s="197" t="s">
        <v>65</v>
      </c>
      <c r="C4" s="197" t="s">
        <v>29</v>
      </c>
      <c r="D4" s="191" t="s">
        <v>28</v>
      </c>
      <c r="E4" s="191"/>
      <c r="F4" s="199"/>
      <c r="G4" s="190" t="s">
        <v>150</v>
      </c>
      <c r="H4" s="191"/>
      <c r="I4" s="190" t="s">
        <v>151</v>
      </c>
      <c r="J4" s="191"/>
      <c r="K4" s="189" t="s">
        <v>55</v>
      </c>
      <c r="L4" s="190"/>
      <c r="M4" s="184" t="s">
        <v>30</v>
      </c>
    </row>
    <row r="5" spans="1:13" s="6" customFormat="1" ht="50.45" customHeight="1" thickBot="1">
      <c r="A5" s="201"/>
      <c r="B5" s="198"/>
      <c r="C5" s="198"/>
      <c r="D5" s="202" t="s">
        <v>19</v>
      </c>
      <c r="E5" s="203"/>
      <c r="F5" s="204"/>
      <c r="G5" s="187" t="s">
        <v>6</v>
      </c>
      <c r="H5" s="188"/>
      <c r="I5" s="187" t="s">
        <v>6</v>
      </c>
      <c r="J5" s="188"/>
      <c r="K5" s="187" t="s">
        <v>6</v>
      </c>
      <c r="L5" s="188"/>
      <c r="M5" s="185"/>
    </row>
    <row r="6" spans="1:13" ht="28.5" customHeight="1" thickBot="1">
      <c r="A6" s="21"/>
      <c r="B6" s="22"/>
      <c r="C6" s="22"/>
      <c r="D6" s="23" t="s">
        <v>10</v>
      </c>
      <c r="E6" s="23" t="s">
        <v>11</v>
      </c>
      <c r="F6" s="23" t="s">
        <v>12</v>
      </c>
      <c r="G6" s="23" t="s">
        <v>11</v>
      </c>
      <c r="H6" s="23" t="s">
        <v>12</v>
      </c>
      <c r="I6" s="23" t="s">
        <v>11</v>
      </c>
      <c r="J6" s="23" t="s">
        <v>12</v>
      </c>
      <c r="K6" s="23" t="s">
        <v>11</v>
      </c>
      <c r="L6" s="23" t="s">
        <v>12</v>
      </c>
      <c r="M6" s="76"/>
    </row>
    <row r="7" spans="1:13" s="7" customFormat="1" ht="30" customHeight="1" thickBot="1">
      <c r="A7" s="205" t="s">
        <v>23</v>
      </c>
      <c r="B7" s="206"/>
      <c r="C7" s="206"/>
      <c r="D7" s="206"/>
      <c r="E7" s="206"/>
      <c r="F7" s="207"/>
      <c r="G7" s="24">
        <f t="shared" ref="G7:L7" si="0">SUM(G8:G36)</f>
        <v>592180</v>
      </c>
      <c r="H7" s="24">
        <f t="shared" si="0"/>
        <v>5000</v>
      </c>
      <c r="I7" s="24">
        <f t="shared" si="0"/>
        <v>5366.5504599999995</v>
      </c>
      <c r="J7" s="24">
        <f t="shared" si="0"/>
        <v>2.1659299999999999</v>
      </c>
      <c r="K7" s="24">
        <f t="shared" si="0"/>
        <v>2609646.9115000004</v>
      </c>
      <c r="L7" s="24">
        <f t="shared" si="0"/>
        <v>38449.232550000001</v>
      </c>
      <c r="M7" s="77"/>
    </row>
    <row r="8" spans="1:13" ht="48" customHeight="1">
      <c r="A8" s="195" t="s">
        <v>52</v>
      </c>
      <c r="B8" s="208">
        <v>41431</v>
      </c>
      <c r="C8" s="222">
        <v>43830</v>
      </c>
      <c r="D8" s="25" t="s">
        <v>0</v>
      </c>
      <c r="E8" s="25">
        <v>24500</v>
      </c>
      <c r="F8" s="182"/>
      <c r="G8" s="182">
        <v>400</v>
      </c>
      <c r="H8" s="177"/>
      <c r="I8" s="177">
        <v>40.341459999999998</v>
      </c>
      <c r="J8" s="224"/>
      <c r="K8" s="177">
        <f>163627.86457+I8</f>
        <v>163668.20603</v>
      </c>
      <c r="L8" s="177"/>
      <c r="M8" s="186" t="s">
        <v>157</v>
      </c>
    </row>
    <row r="9" spans="1:13" ht="133.5" customHeight="1">
      <c r="A9" s="157"/>
      <c r="B9" s="159"/>
      <c r="C9" s="223"/>
      <c r="D9" s="26" t="s">
        <v>1</v>
      </c>
      <c r="E9" s="26">
        <v>38000</v>
      </c>
      <c r="F9" s="160"/>
      <c r="G9" s="160"/>
      <c r="H9" s="161"/>
      <c r="I9" s="161"/>
      <c r="J9" s="165"/>
      <c r="K9" s="161"/>
      <c r="L9" s="161"/>
      <c r="M9" s="156"/>
    </row>
    <row r="10" spans="1:13" s="9" customFormat="1" ht="46.9" customHeight="1">
      <c r="A10" s="157" t="s">
        <v>45</v>
      </c>
      <c r="B10" s="159">
        <v>42410</v>
      </c>
      <c r="C10" s="159">
        <v>45291</v>
      </c>
      <c r="D10" s="26" t="s">
        <v>1</v>
      </c>
      <c r="E10" s="26">
        <v>140000</v>
      </c>
      <c r="F10" s="26"/>
      <c r="G10" s="160">
        <v>59300</v>
      </c>
      <c r="H10" s="161"/>
      <c r="I10" s="161">
        <v>17.55</v>
      </c>
      <c r="J10" s="165"/>
      <c r="K10" s="161">
        <f>168216.49098+I10</f>
        <v>168234.04097999999</v>
      </c>
      <c r="L10" s="161"/>
      <c r="M10" s="156" t="s">
        <v>158</v>
      </c>
    </row>
    <row r="11" spans="1:13" s="9" customFormat="1" ht="118.5" customHeight="1">
      <c r="A11" s="157"/>
      <c r="B11" s="159"/>
      <c r="C11" s="159"/>
      <c r="D11" s="26" t="s">
        <v>4</v>
      </c>
      <c r="E11" s="26">
        <v>49450</v>
      </c>
      <c r="F11" s="26"/>
      <c r="G11" s="160"/>
      <c r="H11" s="161"/>
      <c r="I11" s="161"/>
      <c r="J11" s="165"/>
      <c r="K11" s="161"/>
      <c r="L11" s="161"/>
      <c r="M11" s="156"/>
    </row>
    <row r="12" spans="1:13" ht="78" customHeight="1">
      <c r="A12" s="157" t="s">
        <v>54</v>
      </c>
      <c r="B12" s="159">
        <v>40115</v>
      </c>
      <c r="C12" s="159">
        <v>43737</v>
      </c>
      <c r="D12" s="26" t="s">
        <v>0</v>
      </c>
      <c r="E12" s="26">
        <v>75892</v>
      </c>
      <c r="F12" s="160"/>
      <c r="G12" s="160">
        <v>0</v>
      </c>
      <c r="H12" s="161"/>
      <c r="I12" s="161">
        <v>1489.46657</v>
      </c>
      <c r="J12" s="161"/>
      <c r="K12" s="161">
        <f>391974.5999+H12</f>
        <v>391974.59989999997</v>
      </c>
      <c r="L12" s="161"/>
      <c r="M12" s="156" t="s">
        <v>159</v>
      </c>
    </row>
    <row r="13" spans="1:13" ht="28.15" customHeight="1">
      <c r="A13" s="157"/>
      <c r="B13" s="159"/>
      <c r="C13" s="159"/>
      <c r="D13" s="26" t="s">
        <v>2</v>
      </c>
      <c r="E13" s="26">
        <v>140000</v>
      </c>
      <c r="F13" s="160"/>
      <c r="G13" s="160"/>
      <c r="H13" s="161"/>
      <c r="I13" s="161"/>
      <c r="J13" s="161"/>
      <c r="K13" s="161"/>
      <c r="L13" s="161"/>
      <c r="M13" s="156"/>
    </row>
    <row r="14" spans="1:13" s="9" customFormat="1" ht="30" customHeight="1">
      <c r="A14" s="172" t="s">
        <v>53</v>
      </c>
      <c r="B14" s="209" t="s">
        <v>67</v>
      </c>
      <c r="C14" s="209" t="s">
        <v>68</v>
      </c>
      <c r="D14" s="46" t="s">
        <v>4</v>
      </c>
      <c r="E14" s="46">
        <v>108190</v>
      </c>
      <c r="F14" s="169"/>
      <c r="G14" s="169">
        <v>56000</v>
      </c>
      <c r="H14" s="175"/>
      <c r="I14" s="175">
        <v>1723.9992400000001</v>
      </c>
      <c r="J14" s="175"/>
      <c r="K14" s="175">
        <f>117939.54392+H14</f>
        <v>117939.54392</v>
      </c>
      <c r="L14" s="175"/>
      <c r="M14" s="228" t="s">
        <v>142</v>
      </c>
    </row>
    <row r="15" spans="1:13" s="9" customFormat="1" ht="56.25" customHeight="1">
      <c r="A15" s="173"/>
      <c r="B15" s="210"/>
      <c r="C15" s="210"/>
      <c r="D15" s="46" t="s">
        <v>1</v>
      </c>
      <c r="E15" s="46">
        <v>114000</v>
      </c>
      <c r="F15" s="171"/>
      <c r="G15" s="171"/>
      <c r="H15" s="176"/>
      <c r="I15" s="176"/>
      <c r="J15" s="176"/>
      <c r="K15" s="176"/>
      <c r="L15" s="176"/>
      <c r="M15" s="229"/>
    </row>
    <row r="16" spans="1:13" ht="79.5" customHeight="1">
      <c r="A16" s="47" t="s">
        <v>20</v>
      </c>
      <c r="B16" s="14">
        <v>40163</v>
      </c>
      <c r="C16" s="28">
        <v>45101</v>
      </c>
      <c r="D16" s="26" t="s">
        <v>3</v>
      </c>
      <c r="E16" s="26">
        <v>22132000</v>
      </c>
      <c r="F16" s="26"/>
      <c r="G16" s="122">
        <v>130</v>
      </c>
      <c r="H16" s="123"/>
      <c r="I16" s="133">
        <v>82.161969999999997</v>
      </c>
      <c r="J16" s="133"/>
      <c r="K16" s="133">
        <f>396912.82844+I16</f>
        <v>396994.99041000003</v>
      </c>
      <c r="L16" s="133"/>
      <c r="M16" s="74" t="s">
        <v>120</v>
      </c>
    </row>
    <row r="17" spans="1:18" ht="138.75" customHeight="1">
      <c r="A17" s="47" t="s">
        <v>36</v>
      </c>
      <c r="B17" s="14">
        <v>41040</v>
      </c>
      <c r="C17" s="14">
        <v>43797</v>
      </c>
      <c r="D17" s="26" t="s">
        <v>4</v>
      </c>
      <c r="E17" s="26">
        <v>200000</v>
      </c>
      <c r="F17" s="26">
        <v>20000</v>
      </c>
      <c r="G17" s="122">
        <v>37000</v>
      </c>
      <c r="H17" s="123">
        <v>5000</v>
      </c>
      <c r="I17" s="133">
        <v>15.88341</v>
      </c>
      <c r="J17" s="133">
        <v>2.1659299999999999</v>
      </c>
      <c r="K17" s="133">
        <f>353684.85275+I17</f>
        <v>353700.73616000003</v>
      </c>
      <c r="L17" s="133">
        <f>38447.06662+J17</f>
        <v>38449.232550000001</v>
      </c>
      <c r="M17" s="74" t="s">
        <v>160</v>
      </c>
    </row>
    <row r="18" spans="1:18" s="9" customFormat="1" ht="33.6" customHeight="1">
      <c r="A18" s="211" t="s">
        <v>79</v>
      </c>
      <c r="B18" s="67" t="s">
        <v>101</v>
      </c>
      <c r="C18" s="67" t="s">
        <v>102</v>
      </c>
      <c r="D18" s="68" t="s">
        <v>4</v>
      </c>
      <c r="E18" s="68">
        <v>16000</v>
      </c>
      <c r="F18" s="68"/>
      <c r="G18" s="169">
        <v>32500</v>
      </c>
      <c r="H18" s="175"/>
      <c r="I18" s="175">
        <v>1046.4849099999999</v>
      </c>
      <c r="J18" s="175"/>
      <c r="K18" s="175">
        <f>59639.55053+I18</f>
        <v>60686.03544</v>
      </c>
      <c r="L18" s="175"/>
      <c r="M18" s="228" t="s">
        <v>143</v>
      </c>
    </row>
    <row r="19" spans="1:18" s="9" customFormat="1" ht="49.5" customHeight="1">
      <c r="A19" s="212"/>
      <c r="B19" s="67">
        <v>43382</v>
      </c>
      <c r="C19" s="67">
        <v>44539</v>
      </c>
      <c r="D19" s="68" t="s">
        <v>4</v>
      </c>
      <c r="E19" s="225">
        <v>250000</v>
      </c>
      <c r="F19" s="68"/>
      <c r="G19" s="171"/>
      <c r="H19" s="176"/>
      <c r="I19" s="176"/>
      <c r="J19" s="176"/>
      <c r="K19" s="176"/>
      <c r="L19" s="176"/>
      <c r="M19" s="229"/>
    </row>
    <row r="20" spans="1:18" s="9" customFormat="1" ht="45.75" customHeight="1">
      <c r="A20" s="69" t="s">
        <v>77</v>
      </c>
      <c r="B20" s="209">
        <v>42652</v>
      </c>
      <c r="C20" s="209">
        <v>44539</v>
      </c>
      <c r="D20" s="175" t="s">
        <v>4</v>
      </c>
      <c r="E20" s="226"/>
      <c r="F20" s="61"/>
      <c r="G20" s="122">
        <v>84750</v>
      </c>
      <c r="H20" s="122"/>
      <c r="I20" s="133">
        <v>31.678999999999998</v>
      </c>
      <c r="J20" s="133"/>
      <c r="K20" s="133">
        <f>215007.00447+I20</f>
        <v>215038.68347000002</v>
      </c>
      <c r="L20" s="133"/>
      <c r="M20" s="74" t="s">
        <v>138</v>
      </c>
    </row>
    <row r="21" spans="1:18" s="9" customFormat="1" ht="48" customHeight="1">
      <c r="A21" s="69" t="s">
        <v>132</v>
      </c>
      <c r="B21" s="210"/>
      <c r="C21" s="210"/>
      <c r="D21" s="176"/>
      <c r="E21" s="227"/>
      <c r="F21" s="61"/>
      <c r="G21" s="122">
        <v>42000</v>
      </c>
      <c r="H21" s="61"/>
      <c r="I21" s="133">
        <v>451.82366999999999</v>
      </c>
      <c r="J21" s="133"/>
      <c r="K21" s="133">
        <f>32232.72593+I21</f>
        <v>32684.549600000002</v>
      </c>
      <c r="L21" s="133"/>
      <c r="M21" s="74" t="s">
        <v>139</v>
      </c>
    </row>
    <row r="22" spans="1:18" s="9" customFormat="1" ht="59.25" customHeight="1">
      <c r="A22" s="69" t="s">
        <v>76</v>
      </c>
      <c r="B22" s="60"/>
      <c r="C22" s="60"/>
      <c r="D22" s="61"/>
      <c r="E22" s="61"/>
      <c r="F22" s="61"/>
      <c r="G22" s="117"/>
      <c r="H22" s="61"/>
      <c r="I22" s="133"/>
      <c r="J22" s="133"/>
      <c r="K22" s="133"/>
      <c r="L22" s="133"/>
      <c r="M22" s="74" t="s">
        <v>133</v>
      </c>
    </row>
    <row r="23" spans="1:18" s="9" customFormat="1" ht="54.75" customHeight="1">
      <c r="A23" s="69" t="s">
        <v>73</v>
      </c>
      <c r="B23" s="60"/>
      <c r="C23" s="60"/>
      <c r="D23" s="61"/>
      <c r="E23" s="61"/>
      <c r="F23" s="61"/>
      <c r="G23" s="117"/>
      <c r="H23" s="61"/>
      <c r="I23" s="133"/>
      <c r="J23" s="133"/>
      <c r="K23" s="133"/>
      <c r="L23" s="133"/>
      <c r="M23" s="74" t="s">
        <v>81</v>
      </c>
    </row>
    <row r="24" spans="1:18" s="9" customFormat="1" ht="42.75" customHeight="1">
      <c r="A24" s="69" t="s">
        <v>78</v>
      </c>
      <c r="B24" s="86">
        <v>43378</v>
      </c>
      <c r="C24" s="86">
        <v>45657</v>
      </c>
      <c r="D24" s="85" t="s">
        <v>4</v>
      </c>
      <c r="E24" s="85">
        <v>255297</v>
      </c>
      <c r="F24" s="61"/>
      <c r="G24" s="122">
        <v>64750</v>
      </c>
      <c r="H24" s="61"/>
      <c r="I24" s="133">
        <v>61.674880000000002</v>
      </c>
      <c r="J24" s="133"/>
      <c r="K24" s="133">
        <f>125625.3416+I24</f>
        <v>125687.01648000001</v>
      </c>
      <c r="L24" s="133"/>
      <c r="M24" s="74" t="s">
        <v>137</v>
      </c>
    </row>
    <row r="25" spans="1:18" s="9" customFormat="1" ht="28.9" customHeight="1">
      <c r="A25" s="211" t="s">
        <v>80</v>
      </c>
      <c r="B25" s="119">
        <v>43704</v>
      </c>
      <c r="C25" s="166">
        <v>45291</v>
      </c>
      <c r="D25" s="169" t="s">
        <v>4</v>
      </c>
      <c r="E25" s="118">
        <v>370236</v>
      </c>
      <c r="F25" s="61"/>
      <c r="G25" s="169">
        <v>35500</v>
      </c>
      <c r="H25" s="169"/>
      <c r="I25" s="175"/>
      <c r="J25" s="175"/>
      <c r="K25" s="175">
        <f>223666.14134+I25</f>
        <v>223666.14134</v>
      </c>
      <c r="L25" s="175"/>
      <c r="M25" s="228" t="s">
        <v>146</v>
      </c>
    </row>
    <row r="26" spans="1:18" s="9" customFormat="1" ht="38.25" customHeight="1">
      <c r="A26" s="212"/>
      <c r="B26" s="119">
        <v>43749</v>
      </c>
      <c r="C26" s="168"/>
      <c r="D26" s="171"/>
      <c r="E26" s="118">
        <v>53400</v>
      </c>
      <c r="F26" s="61"/>
      <c r="G26" s="171"/>
      <c r="H26" s="171"/>
      <c r="I26" s="176"/>
      <c r="J26" s="176"/>
      <c r="K26" s="176"/>
      <c r="L26" s="176"/>
      <c r="M26" s="229"/>
    </row>
    <row r="27" spans="1:18" s="9" customFormat="1" ht="61.15" customHeight="1">
      <c r="A27" s="137" t="s">
        <v>153</v>
      </c>
      <c r="B27" s="121">
        <v>43796</v>
      </c>
      <c r="C27" s="124">
        <v>44926</v>
      </c>
      <c r="D27" s="122" t="s">
        <v>4</v>
      </c>
      <c r="E27" s="122">
        <v>255100</v>
      </c>
      <c r="F27" s="61"/>
      <c r="G27" s="122">
        <v>99000</v>
      </c>
      <c r="H27" s="61"/>
      <c r="I27" s="133"/>
      <c r="J27" s="133"/>
      <c r="K27" s="133">
        <f>I27</f>
        <v>0</v>
      </c>
      <c r="L27" s="133"/>
      <c r="M27" s="131" t="s">
        <v>161</v>
      </c>
    </row>
    <row r="28" spans="1:18" s="9" customFormat="1" ht="75" customHeight="1">
      <c r="A28" s="69" t="s">
        <v>141</v>
      </c>
      <c r="B28" s="60"/>
      <c r="C28" s="60"/>
      <c r="D28" s="61"/>
      <c r="E28" s="61"/>
      <c r="F28" s="61"/>
      <c r="G28" s="117"/>
      <c r="H28" s="61"/>
      <c r="I28" s="133"/>
      <c r="J28" s="133"/>
      <c r="K28" s="133"/>
      <c r="L28" s="133"/>
      <c r="M28" s="74" t="s">
        <v>144</v>
      </c>
    </row>
    <row r="29" spans="1:18" s="9" customFormat="1" ht="61.5" customHeight="1">
      <c r="A29" s="69" t="s">
        <v>75</v>
      </c>
      <c r="B29" s="60"/>
      <c r="C29" s="60"/>
      <c r="D29" s="61"/>
      <c r="E29" s="61"/>
      <c r="F29" s="61"/>
      <c r="G29" s="117"/>
      <c r="H29" s="61"/>
      <c r="I29" s="133"/>
      <c r="J29" s="133"/>
      <c r="K29" s="133"/>
      <c r="L29" s="133"/>
      <c r="M29" s="74" t="s">
        <v>147</v>
      </c>
    </row>
    <row r="30" spans="1:18" s="3" customFormat="1" ht="28.15" customHeight="1">
      <c r="A30" s="196" t="s">
        <v>13</v>
      </c>
      <c r="B30" s="174">
        <v>40990</v>
      </c>
      <c r="C30" s="174">
        <v>43646</v>
      </c>
      <c r="D30" s="66" t="s">
        <v>0</v>
      </c>
      <c r="E30" s="66">
        <v>25800</v>
      </c>
      <c r="F30" s="160"/>
      <c r="G30" s="160">
        <v>0</v>
      </c>
      <c r="H30" s="161"/>
      <c r="I30" s="161"/>
      <c r="J30" s="165"/>
      <c r="K30" s="161">
        <f>127772.76574+I30</f>
        <v>127772.76574</v>
      </c>
      <c r="L30" s="161"/>
      <c r="M30" s="156" t="s">
        <v>145</v>
      </c>
      <c r="N30" s="1"/>
      <c r="O30" s="1"/>
      <c r="P30" s="1"/>
      <c r="Q30" s="1"/>
      <c r="R30" s="1"/>
    </row>
    <row r="31" spans="1:18" s="3" customFormat="1" ht="27" customHeight="1">
      <c r="A31" s="196"/>
      <c r="B31" s="174"/>
      <c r="C31" s="174"/>
      <c r="D31" s="66" t="s">
        <v>1</v>
      </c>
      <c r="E31" s="66">
        <v>30000</v>
      </c>
      <c r="F31" s="160"/>
      <c r="G31" s="160"/>
      <c r="H31" s="161"/>
      <c r="I31" s="161"/>
      <c r="J31" s="165"/>
      <c r="K31" s="161"/>
      <c r="L31" s="161"/>
      <c r="M31" s="156"/>
      <c r="N31" s="1"/>
      <c r="O31" s="1"/>
      <c r="P31" s="1"/>
      <c r="Q31" s="1"/>
      <c r="R31" s="1"/>
    </row>
    <row r="32" spans="1:18" s="3" customFormat="1" ht="75.75" customHeight="1">
      <c r="A32" s="56" t="s">
        <v>62</v>
      </c>
      <c r="B32" s="45">
        <v>41829</v>
      </c>
      <c r="C32" s="45">
        <v>44012</v>
      </c>
      <c r="D32" s="66" t="s">
        <v>1</v>
      </c>
      <c r="E32" s="66">
        <v>75000</v>
      </c>
      <c r="F32" s="26"/>
      <c r="G32" s="122">
        <v>11200</v>
      </c>
      <c r="H32" s="123"/>
      <c r="I32" s="133">
        <v>88.213530000000006</v>
      </c>
      <c r="J32" s="133"/>
      <c r="K32" s="133">
        <f>152232.98933+I32</f>
        <v>152321.20286000002</v>
      </c>
      <c r="L32" s="133"/>
      <c r="M32" s="74" t="s">
        <v>162</v>
      </c>
      <c r="N32" s="1"/>
      <c r="O32" s="1"/>
      <c r="P32" s="1"/>
      <c r="Q32" s="1"/>
      <c r="R32" s="1"/>
    </row>
    <row r="33" spans="1:18" s="3" customFormat="1" ht="112.5" customHeight="1">
      <c r="A33" s="56" t="s">
        <v>47</v>
      </c>
      <c r="B33" s="45">
        <v>42457</v>
      </c>
      <c r="C33" s="45">
        <v>44561</v>
      </c>
      <c r="D33" s="66" t="s">
        <v>1</v>
      </c>
      <c r="E33" s="66">
        <v>40000</v>
      </c>
      <c r="F33" s="26"/>
      <c r="G33" s="122">
        <v>30000</v>
      </c>
      <c r="H33" s="123"/>
      <c r="I33" s="133"/>
      <c r="J33" s="133"/>
      <c r="K33" s="133">
        <f>41363.34064+I33</f>
        <v>41363.340640000002</v>
      </c>
      <c r="L33" s="133"/>
      <c r="M33" s="74" t="s">
        <v>148</v>
      </c>
      <c r="N33" s="1"/>
      <c r="O33" s="1"/>
      <c r="P33" s="1"/>
      <c r="Q33" s="1"/>
      <c r="R33" s="1"/>
    </row>
    <row r="34" spans="1:18" s="3" customFormat="1" ht="62.25" customHeight="1">
      <c r="A34" s="69" t="s">
        <v>74</v>
      </c>
      <c r="B34" s="45" t="s">
        <v>70</v>
      </c>
      <c r="C34" s="45" t="s">
        <v>121</v>
      </c>
      <c r="D34" s="66" t="s">
        <v>1</v>
      </c>
      <c r="E34" s="66">
        <v>80000</v>
      </c>
      <c r="F34" s="64"/>
      <c r="G34" s="122">
        <v>24400</v>
      </c>
      <c r="H34" s="123"/>
      <c r="I34" s="133">
        <v>227.18127999999999</v>
      </c>
      <c r="J34" s="133"/>
      <c r="K34" s="133">
        <f>34245.64722+I34</f>
        <v>34472.828499999996</v>
      </c>
      <c r="L34" s="133"/>
      <c r="M34" s="74" t="s">
        <v>140</v>
      </c>
      <c r="N34" s="84"/>
      <c r="O34" s="1"/>
      <c r="P34" s="1"/>
      <c r="Q34" s="1"/>
      <c r="R34" s="1"/>
    </row>
    <row r="35" spans="1:18" s="3" customFormat="1" ht="55.5" customHeight="1">
      <c r="A35" s="53" t="s">
        <v>43</v>
      </c>
      <c r="B35" s="14">
        <v>42752</v>
      </c>
      <c r="C35" s="14">
        <v>44196</v>
      </c>
      <c r="D35" s="26" t="s">
        <v>42</v>
      </c>
      <c r="E35" s="26">
        <v>8000</v>
      </c>
      <c r="F35" s="26"/>
      <c r="G35" s="122">
        <v>11250</v>
      </c>
      <c r="H35" s="123"/>
      <c r="I35" s="133">
        <v>90.090540000000004</v>
      </c>
      <c r="J35" s="133"/>
      <c r="K35" s="133">
        <f>2066.76764+I35</f>
        <v>2156.8581800000002</v>
      </c>
      <c r="L35" s="133"/>
      <c r="M35" s="74" t="s">
        <v>163</v>
      </c>
      <c r="N35" s="1"/>
      <c r="O35" s="1"/>
      <c r="P35" s="1"/>
      <c r="Q35" s="1"/>
      <c r="R35" s="1"/>
    </row>
    <row r="36" spans="1:18" s="3" customFormat="1" ht="63" customHeight="1" thickBot="1">
      <c r="A36" s="107" t="s">
        <v>44</v>
      </c>
      <c r="B36" s="108">
        <v>42734</v>
      </c>
      <c r="C36" s="108">
        <v>43830</v>
      </c>
      <c r="D36" s="109" t="s">
        <v>4</v>
      </c>
      <c r="E36" s="109">
        <v>6000</v>
      </c>
      <c r="F36" s="109"/>
      <c r="G36" s="31">
        <v>4000</v>
      </c>
      <c r="H36" s="63"/>
      <c r="I36" s="63"/>
      <c r="J36" s="63"/>
      <c r="K36" s="63">
        <f>1285.37185+I36</f>
        <v>1285.37185</v>
      </c>
      <c r="L36" s="63"/>
      <c r="M36" s="110" t="s">
        <v>135</v>
      </c>
      <c r="N36" s="1"/>
      <c r="O36" s="1"/>
      <c r="P36" s="1"/>
      <c r="Q36" s="1"/>
      <c r="R36" s="1"/>
    </row>
    <row r="37" spans="1:18" s="7" customFormat="1" ht="30" customHeight="1" thickBot="1">
      <c r="A37" s="162" t="s">
        <v>7</v>
      </c>
      <c r="B37" s="163"/>
      <c r="C37" s="163"/>
      <c r="D37" s="163"/>
      <c r="E37" s="163"/>
      <c r="F37" s="164"/>
      <c r="G37" s="35">
        <f t="shared" ref="G37:L37" si="1">SUM(G38:G55)</f>
        <v>178420</v>
      </c>
      <c r="H37" s="35">
        <f t="shared" si="1"/>
        <v>6000</v>
      </c>
      <c r="I37" s="35">
        <f t="shared" si="1"/>
        <v>11735.01441</v>
      </c>
      <c r="J37" s="35">
        <f t="shared" si="1"/>
        <v>2.0592000000000001</v>
      </c>
      <c r="K37" s="35">
        <f t="shared" si="1"/>
        <v>820176.71407999995</v>
      </c>
      <c r="L37" s="35">
        <f t="shared" si="1"/>
        <v>15268.879799999999</v>
      </c>
      <c r="M37" s="81"/>
    </row>
    <row r="38" spans="1:18" ht="62.25" customHeight="1">
      <c r="A38" s="52" t="s">
        <v>21</v>
      </c>
      <c r="B38" s="54">
        <v>41869</v>
      </c>
      <c r="C38" s="54">
        <v>44316</v>
      </c>
      <c r="D38" s="51" t="s">
        <v>1</v>
      </c>
      <c r="E38" s="51">
        <v>30000</v>
      </c>
      <c r="F38" s="51">
        <v>5000</v>
      </c>
      <c r="G38" s="32">
        <v>8400</v>
      </c>
      <c r="H38" s="62">
        <v>3800</v>
      </c>
      <c r="I38" s="62">
        <v>81.627899999999997</v>
      </c>
      <c r="J38" s="134">
        <v>2.0592000000000001</v>
      </c>
      <c r="K38" s="62">
        <f>52585.31347+I38</f>
        <v>52666.94137</v>
      </c>
      <c r="L38" s="62">
        <f>8136.79195+J38</f>
        <v>8138.8511499999995</v>
      </c>
      <c r="M38" s="79" t="s">
        <v>84</v>
      </c>
    </row>
    <row r="39" spans="1:18" ht="52.9" customHeight="1">
      <c r="A39" s="53" t="s">
        <v>14</v>
      </c>
      <c r="B39" s="48">
        <v>40227</v>
      </c>
      <c r="C39" s="28">
        <v>44196</v>
      </c>
      <c r="D39" s="49" t="s">
        <v>4</v>
      </c>
      <c r="E39" s="49">
        <v>3000</v>
      </c>
      <c r="F39" s="49"/>
      <c r="G39" s="129">
        <v>2000</v>
      </c>
      <c r="H39" s="130"/>
      <c r="I39" s="134"/>
      <c r="J39" s="134"/>
      <c r="K39" s="134">
        <f>2401.7848+I39</f>
        <v>2401.7847999999999</v>
      </c>
      <c r="L39" s="134"/>
      <c r="M39" s="74" t="s">
        <v>85</v>
      </c>
    </row>
    <row r="40" spans="1:18" ht="73.900000000000006" customHeight="1">
      <c r="A40" s="53" t="s">
        <v>37</v>
      </c>
      <c r="B40" s="48">
        <v>41621</v>
      </c>
      <c r="C40" s="48">
        <v>44926</v>
      </c>
      <c r="D40" s="49" t="s">
        <v>4</v>
      </c>
      <c r="E40" s="49">
        <v>20000</v>
      </c>
      <c r="F40" s="49">
        <v>2000</v>
      </c>
      <c r="G40" s="129">
        <v>400</v>
      </c>
      <c r="H40" s="130">
        <v>600</v>
      </c>
      <c r="I40" s="134"/>
      <c r="J40" s="134"/>
      <c r="K40" s="138">
        <f>7439.85874+I40</f>
        <v>7439.8587399999997</v>
      </c>
      <c r="L40" s="134">
        <f>6355.42307+J40</f>
        <v>6355.4230699999998</v>
      </c>
      <c r="M40" s="74" t="s">
        <v>122</v>
      </c>
    </row>
    <row r="41" spans="1:18" ht="59.45" customHeight="1">
      <c r="A41" s="220" t="s">
        <v>63</v>
      </c>
      <c r="B41" s="159">
        <v>40350</v>
      </c>
      <c r="C41" s="159">
        <v>44030</v>
      </c>
      <c r="D41" s="49" t="s">
        <v>0</v>
      </c>
      <c r="E41" s="49">
        <f>57986+10639</f>
        <v>68625</v>
      </c>
      <c r="F41" s="160"/>
      <c r="G41" s="193">
        <v>22800</v>
      </c>
      <c r="H41" s="192"/>
      <c r="I41" s="192">
        <v>6363.5844999999999</v>
      </c>
      <c r="J41" s="192"/>
      <c r="K41" s="218">
        <f>408545.01518+I41</f>
        <v>414908.59967999998</v>
      </c>
      <c r="L41" s="192"/>
      <c r="M41" s="156" t="s">
        <v>123</v>
      </c>
    </row>
    <row r="42" spans="1:18" ht="104.25" customHeight="1">
      <c r="A42" s="220"/>
      <c r="B42" s="159"/>
      <c r="C42" s="159"/>
      <c r="D42" s="49" t="s">
        <v>1</v>
      </c>
      <c r="E42" s="49">
        <f>48886+73000+20000</f>
        <v>141886</v>
      </c>
      <c r="F42" s="160"/>
      <c r="G42" s="194"/>
      <c r="H42" s="192"/>
      <c r="I42" s="192"/>
      <c r="J42" s="192"/>
      <c r="K42" s="219"/>
      <c r="L42" s="192"/>
      <c r="M42" s="156"/>
    </row>
    <row r="43" spans="1:18" ht="51" customHeight="1">
      <c r="A43" s="220" t="s">
        <v>15</v>
      </c>
      <c r="B43" s="159">
        <v>41222</v>
      </c>
      <c r="C43" s="159">
        <v>43830</v>
      </c>
      <c r="D43" s="49" t="s">
        <v>0</v>
      </c>
      <c r="E43" s="49">
        <v>19800</v>
      </c>
      <c r="F43" s="49"/>
      <c r="G43" s="221">
        <v>0</v>
      </c>
      <c r="H43" s="192"/>
      <c r="I43" s="192"/>
      <c r="J43" s="192"/>
      <c r="K43" s="192">
        <f>79274.14018+I43</f>
        <v>79274.140180000002</v>
      </c>
      <c r="L43" s="192"/>
      <c r="M43" s="156" t="s">
        <v>100</v>
      </c>
    </row>
    <row r="44" spans="1:18" ht="34.9" customHeight="1">
      <c r="A44" s="220"/>
      <c r="B44" s="159"/>
      <c r="C44" s="159"/>
      <c r="D44" s="49" t="s">
        <v>1</v>
      </c>
      <c r="E44" s="49">
        <v>9000</v>
      </c>
      <c r="F44" s="49"/>
      <c r="G44" s="221"/>
      <c r="H44" s="192"/>
      <c r="I44" s="192"/>
      <c r="J44" s="192"/>
      <c r="K44" s="192"/>
      <c r="L44" s="192"/>
      <c r="M44" s="156"/>
    </row>
    <row r="45" spans="1:18" ht="60" customHeight="1">
      <c r="A45" s="55" t="s">
        <v>32</v>
      </c>
      <c r="B45" s="48">
        <v>42223</v>
      </c>
      <c r="C45" s="48">
        <v>44926</v>
      </c>
      <c r="D45" s="49" t="s">
        <v>1</v>
      </c>
      <c r="E45" s="49">
        <v>60000</v>
      </c>
      <c r="F45" s="49"/>
      <c r="G45" s="129">
        <v>20000</v>
      </c>
      <c r="H45" s="130"/>
      <c r="I45" s="134">
        <v>942.52823999999998</v>
      </c>
      <c r="J45" s="134"/>
      <c r="K45" s="134">
        <f>46080.0495+I45</f>
        <v>47022.577740000001</v>
      </c>
      <c r="L45" s="134"/>
      <c r="M45" s="74" t="s">
        <v>86</v>
      </c>
    </row>
    <row r="46" spans="1:18" ht="56.25" customHeight="1">
      <c r="A46" s="53" t="s">
        <v>33</v>
      </c>
      <c r="B46" s="48">
        <v>42136</v>
      </c>
      <c r="C46" s="48">
        <v>43963</v>
      </c>
      <c r="D46" s="49" t="s">
        <v>4</v>
      </c>
      <c r="E46" s="49">
        <v>4300</v>
      </c>
      <c r="F46" s="49">
        <v>1843</v>
      </c>
      <c r="G46" s="129">
        <v>420</v>
      </c>
      <c r="H46" s="130">
        <v>300</v>
      </c>
      <c r="I46" s="130"/>
      <c r="J46" s="130"/>
      <c r="K46" s="130">
        <f>967.42234+I46</f>
        <v>967.42233999999996</v>
      </c>
      <c r="L46" s="130"/>
      <c r="M46" s="74" t="s">
        <v>87</v>
      </c>
    </row>
    <row r="47" spans="1:18" s="3" customFormat="1" ht="57.75" customHeight="1">
      <c r="A47" s="99" t="s">
        <v>112</v>
      </c>
      <c r="B47" s="102">
        <v>43285</v>
      </c>
      <c r="C47" s="103">
        <v>44016</v>
      </c>
      <c r="D47" s="98" t="s">
        <v>4</v>
      </c>
      <c r="E47" s="98">
        <v>2830</v>
      </c>
      <c r="F47" s="98">
        <v>1870</v>
      </c>
      <c r="G47" s="130">
        <v>5000</v>
      </c>
      <c r="H47" s="130">
        <v>1000</v>
      </c>
      <c r="I47" s="130"/>
      <c r="J47" s="130"/>
      <c r="K47" s="130">
        <f>I47</f>
        <v>0</v>
      </c>
      <c r="L47" s="130">
        <f>J47</f>
        <v>0</v>
      </c>
      <c r="M47" s="74" t="s">
        <v>136</v>
      </c>
      <c r="N47" s="1"/>
      <c r="O47" s="1"/>
      <c r="P47" s="1"/>
      <c r="Q47" s="1"/>
      <c r="R47" s="1"/>
    </row>
    <row r="48" spans="1:18" s="3" customFormat="1" ht="64.5" customHeight="1">
      <c r="A48" s="53" t="s">
        <v>40</v>
      </c>
      <c r="B48" s="48">
        <v>42411</v>
      </c>
      <c r="C48" s="48">
        <v>43830</v>
      </c>
      <c r="D48" s="49" t="s">
        <v>4</v>
      </c>
      <c r="E48" s="49">
        <v>100000</v>
      </c>
      <c r="F48" s="49"/>
      <c r="G48" s="129">
        <v>49000</v>
      </c>
      <c r="H48" s="130"/>
      <c r="I48" s="130">
        <v>4347.2737699999998</v>
      </c>
      <c r="J48" s="130"/>
      <c r="K48" s="130">
        <v>183834.86476</v>
      </c>
      <c r="L48" s="130"/>
      <c r="M48" s="74" t="s">
        <v>88</v>
      </c>
      <c r="N48" s="1"/>
      <c r="O48" s="1"/>
      <c r="P48" s="1"/>
      <c r="Q48" s="1"/>
      <c r="R48" s="1"/>
    </row>
    <row r="49" spans="1:18" s="3" customFormat="1" ht="74.25" customHeight="1">
      <c r="A49" s="97" t="s">
        <v>58</v>
      </c>
      <c r="B49" s="96">
        <v>42713</v>
      </c>
      <c r="C49" s="96">
        <v>44561</v>
      </c>
      <c r="D49" s="94" t="s">
        <v>4</v>
      </c>
      <c r="E49" s="94">
        <v>100000</v>
      </c>
      <c r="F49" s="94"/>
      <c r="G49" s="129">
        <v>0</v>
      </c>
      <c r="H49" s="130"/>
      <c r="I49" s="130"/>
      <c r="J49" s="130"/>
      <c r="K49" s="130">
        <f>I49</f>
        <v>0</v>
      </c>
      <c r="L49" s="130"/>
      <c r="M49" s="101" t="s">
        <v>124</v>
      </c>
      <c r="N49" s="1"/>
      <c r="O49" s="1"/>
      <c r="P49" s="1"/>
      <c r="Q49" s="1"/>
      <c r="R49" s="1"/>
    </row>
    <row r="50" spans="1:18" s="3" customFormat="1" ht="75.75" customHeight="1">
      <c r="A50" s="230" t="s">
        <v>164</v>
      </c>
      <c r="B50" s="102">
        <v>43805</v>
      </c>
      <c r="C50" s="102">
        <v>44926</v>
      </c>
      <c r="D50" s="129" t="s">
        <v>4</v>
      </c>
      <c r="E50" s="129">
        <v>13550</v>
      </c>
      <c r="F50" s="129"/>
      <c r="G50" s="129">
        <v>8000</v>
      </c>
      <c r="H50" s="130"/>
      <c r="I50" s="130"/>
      <c r="J50" s="130"/>
      <c r="K50" s="130">
        <f t="shared" ref="K50:K52" si="2">I50</f>
        <v>0</v>
      </c>
      <c r="L50" s="130"/>
      <c r="M50" s="116" t="s">
        <v>169</v>
      </c>
      <c r="N50" s="1"/>
      <c r="O50" s="1"/>
      <c r="P50" s="1"/>
      <c r="Q50" s="1"/>
      <c r="R50" s="1"/>
    </row>
    <row r="51" spans="1:18" s="3" customFormat="1" ht="62.25" customHeight="1">
      <c r="A51" s="230" t="s">
        <v>165</v>
      </c>
      <c r="B51" s="102">
        <v>43798</v>
      </c>
      <c r="C51" s="102">
        <v>45280</v>
      </c>
      <c r="D51" s="129" t="s">
        <v>4</v>
      </c>
      <c r="E51" s="129">
        <v>17000</v>
      </c>
      <c r="F51" s="129"/>
      <c r="G51" s="129">
        <v>15000</v>
      </c>
      <c r="H51" s="130"/>
      <c r="I51" s="130"/>
      <c r="J51" s="130"/>
      <c r="K51" s="130">
        <f t="shared" si="2"/>
        <v>0</v>
      </c>
      <c r="L51" s="130"/>
      <c r="M51" s="116" t="s">
        <v>167</v>
      </c>
      <c r="N51" s="1"/>
      <c r="O51" s="1"/>
      <c r="P51" s="1"/>
      <c r="Q51" s="1"/>
      <c r="R51" s="1"/>
    </row>
    <row r="52" spans="1:18" s="3" customFormat="1" ht="66.75" customHeight="1">
      <c r="A52" s="230" t="s">
        <v>166</v>
      </c>
      <c r="B52" s="102"/>
      <c r="C52" s="102"/>
      <c r="D52" s="129" t="s">
        <v>4</v>
      </c>
      <c r="E52" s="129"/>
      <c r="F52" s="129"/>
      <c r="G52" s="129">
        <v>10000</v>
      </c>
      <c r="H52" s="130"/>
      <c r="I52" s="130"/>
      <c r="J52" s="130"/>
      <c r="K52" s="130">
        <f t="shared" si="2"/>
        <v>0</v>
      </c>
      <c r="L52" s="130"/>
      <c r="M52" s="116" t="s">
        <v>168</v>
      </c>
      <c r="N52" s="1"/>
      <c r="O52" s="1"/>
      <c r="P52" s="1"/>
      <c r="Q52" s="1"/>
      <c r="R52" s="1"/>
    </row>
    <row r="53" spans="1:18" s="3" customFormat="1" ht="113.25" customHeight="1">
      <c r="A53" s="113" t="s">
        <v>128</v>
      </c>
      <c r="B53" s="112">
        <v>41884</v>
      </c>
      <c r="C53" s="112">
        <v>43830</v>
      </c>
      <c r="D53" s="111" t="s">
        <v>4</v>
      </c>
      <c r="E53" s="111">
        <v>13200</v>
      </c>
      <c r="F53" s="111"/>
      <c r="G53" s="129"/>
      <c r="H53" s="129"/>
      <c r="I53" s="130"/>
      <c r="J53" s="139"/>
      <c r="K53" s="130">
        <f>30687.92141+I53</f>
        <v>30687.921409999999</v>
      </c>
      <c r="L53" s="130"/>
      <c r="M53" s="116" t="s">
        <v>129</v>
      </c>
      <c r="N53" s="1"/>
      <c r="O53" s="1"/>
      <c r="P53" s="1"/>
      <c r="Q53" s="1"/>
      <c r="R53" s="1"/>
    </row>
    <row r="54" spans="1:18" s="3" customFormat="1" ht="66" customHeight="1">
      <c r="A54" s="97" t="s">
        <v>113</v>
      </c>
      <c r="B54" s="102">
        <v>43035</v>
      </c>
      <c r="C54" s="102">
        <v>44925</v>
      </c>
      <c r="D54" s="98" t="s">
        <v>4</v>
      </c>
      <c r="E54" s="98">
        <v>30000</v>
      </c>
      <c r="F54" s="98">
        <v>2000</v>
      </c>
      <c r="G54" s="129">
        <v>400</v>
      </c>
      <c r="H54" s="130">
        <v>300</v>
      </c>
      <c r="I54" s="130"/>
      <c r="J54" s="130"/>
      <c r="K54" s="130">
        <f>477.03306+I54</f>
        <v>477.03305999999998</v>
      </c>
      <c r="L54" s="130">
        <f>774.60558+J54</f>
        <v>774.60558000000003</v>
      </c>
      <c r="M54" s="101" t="s">
        <v>130</v>
      </c>
      <c r="N54" s="1"/>
      <c r="O54" s="1"/>
      <c r="P54" s="1"/>
      <c r="Q54" s="1"/>
      <c r="R54" s="1"/>
    </row>
    <row r="55" spans="1:18" s="3" customFormat="1" ht="79.5" customHeight="1" thickBot="1">
      <c r="A55" s="97" t="s">
        <v>114</v>
      </c>
      <c r="B55" s="104">
        <v>27.112017999999999</v>
      </c>
      <c r="C55" s="104">
        <v>27.112020999999999</v>
      </c>
      <c r="D55" s="58" t="s">
        <v>4</v>
      </c>
      <c r="E55" s="58">
        <v>15000</v>
      </c>
      <c r="F55" s="58"/>
      <c r="G55" s="58">
        <v>37000</v>
      </c>
      <c r="H55" s="65"/>
      <c r="I55" s="65"/>
      <c r="J55" s="65"/>
      <c r="K55" s="130">
        <f>495.57+I55</f>
        <v>495.57</v>
      </c>
      <c r="L55" s="65"/>
      <c r="M55" s="101" t="s">
        <v>127</v>
      </c>
      <c r="N55" s="1"/>
      <c r="O55" s="1"/>
      <c r="P55" s="1"/>
      <c r="Q55" s="1"/>
      <c r="R55" s="1"/>
    </row>
    <row r="56" spans="1:18" s="7" customFormat="1" ht="23.25" customHeight="1" thickBot="1">
      <c r="A56" s="215" t="s">
        <v>8</v>
      </c>
      <c r="B56" s="216"/>
      <c r="C56" s="216"/>
      <c r="D56" s="216"/>
      <c r="E56" s="216"/>
      <c r="F56" s="217"/>
      <c r="G56" s="33">
        <f>SUM(G57:G64)</f>
        <v>154800</v>
      </c>
      <c r="H56" s="33">
        <f t="shared" ref="H56:L56" si="3">SUM(H57:H64)</f>
        <v>15250</v>
      </c>
      <c r="I56" s="33">
        <f>SUM(I57:I64)</f>
        <v>4760.2816300000004</v>
      </c>
      <c r="J56" s="33">
        <f t="shared" si="3"/>
        <v>411.07107999999999</v>
      </c>
      <c r="K56" s="33">
        <f t="shared" si="3"/>
        <v>908451.62635399995</v>
      </c>
      <c r="L56" s="33">
        <f t="shared" si="3"/>
        <v>114750.86273000001</v>
      </c>
      <c r="M56" s="80"/>
    </row>
    <row r="57" spans="1:18" ht="41.45" customHeight="1">
      <c r="A57" s="52" t="s">
        <v>59</v>
      </c>
      <c r="B57" s="54">
        <v>39626</v>
      </c>
      <c r="C57" s="54">
        <v>43373</v>
      </c>
      <c r="D57" s="51" t="s">
        <v>4</v>
      </c>
      <c r="E57" s="51">
        <v>3700</v>
      </c>
      <c r="F57" s="51">
        <v>1814</v>
      </c>
      <c r="G57" s="125">
        <v>300</v>
      </c>
      <c r="H57" s="127"/>
      <c r="I57" s="127"/>
      <c r="J57" s="136"/>
      <c r="K57" s="127">
        <f>9620.780944+I57</f>
        <v>9620.7809440000001</v>
      </c>
      <c r="L57" s="127">
        <f>3649.68102+J57</f>
        <v>3649.68102</v>
      </c>
      <c r="M57" s="79" t="s">
        <v>89</v>
      </c>
    </row>
    <row r="58" spans="1:18" ht="172.15" customHeight="1">
      <c r="A58" s="158" t="s">
        <v>49</v>
      </c>
      <c r="B58" s="159">
        <v>40673</v>
      </c>
      <c r="C58" s="159">
        <v>44284</v>
      </c>
      <c r="D58" s="49" t="s">
        <v>0</v>
      </c>
      <c r="E58" s="49">
        <f>51343+25047+64205+23005</f>
        <v>163600</v>
      </c>
      <c r="F58" s="160"/>
      <c r="G58" s="160">
        <v>129000</v>
      </c>
      <c r="H58" s="161"/>
      <c r="I58" s="161">
        <v>4760.2816300000004</v>
      </c>
      <c r="J58" s="165"/>
      <c r="K58" s="161">
        <v>687149.50722999999</v>
      </c>
      <c r="L58" s="161"/>
      <c r="M58" s="156" t="s">
        <v>149</v>
      </c>
    </row>
    <row r="59" spans="1:18" ht="229.9" customHeight="1">
      <c r="A59" s="158"/>
      <c r="B59" s="159"/>
      <c r="C59" s="159"/>
      <c r="D59" s="49" t="s">
        <v>1</v>
      </c>
      <c r="E59" s="49">
        <f>108000+43000+99000</f>
        <v>250000</v>
      </c>
      <c r="F59" s="160"/>
      <c r="G59" s="160"/>
      <c r="H59" s="161"/>
      <c r="I59" s="161"/>
      <c r="J59" s="165"/>
      <c r="K59" s="161"/>
      <c r="L59" s="161"/>
      <c r="M59" s="156"/>
    </row>
    <row r="60" spans="1:18" ht="84.75" customHeight="1">
      <c r="A60" s="72" t="s">
        <v>72</v>
      </c>
      <c r="B60" s="71" t="s">
        <v>71</v>
      </c>
      <c r="C60" s="71">
        <v>44119</v>
      </c>
      <c r="D60" s="68" t="s">
        <v>4</v>
      </c>
      <c r="E60" s="70">
        <v>100</v>
      </c>
      <c r="F60" s="70"/>
      <c r="G60" s="122">
        <v>0</v>
      </c>
      <c r="H60" s="123">
        <v>800</v>
      </c>
      <c r="I60" s="123"/>
      <c r="J60" s="68"/>
      <c r="K60" s="123">
        <f>35.07802+I60</f>
        <v>35.078020000000002</v>
      </c>
      <c r="L60" s="123"/>
      <c r="M60" s="74" t="s">
        <v>125</v>
      </c>
    </row>
    <row r="61" spans="1:18" ht="143.25" customHeight="1">
      <c r="A61" s="53" t="s">
        <v>48</v>
      </c>
      <c r="B61" s="48">
        <v>40773</v>
      </c>
      <c r="C61" s="48">
        <v>44561</v>
      </c>
      <c r="D61" s="50" t="s">
        <v>4</v>
      </c>
      <c r="E61" s="50">
        <f>2988.339+4000+20000</f>
        <v>26988.339</v>
      </c>
      <c r="F61" s="50">
        <f>4500+6728.536+9000+4000+7000</f>
        <v>31228.536</v>
      </c>
      <c r="G61" s="122">
        <v>1500</v>
      </c>
      <c r="H61" s="123">
        <v>750</v>
      </c>
      <c r="I61" s="68"/>
      <c r="J61" s="68"/>
      <c r="K61" s="123">
        <f>66449.64+I61</f>
        <v>66449.64</v>
      </c>
      <c r="L61" s="68">
        <f>65489.76346+J61</f>
        <v>65489.763460000002</v>
      </c>
      <c r="M61" s="74" t="s">
        <v>90</v>
      </c>
    </row>
    <row r="62" spans="1:18" ht="59.25" customHeight="1">
      <c r="A62" s="53" t="s">
        <v>46</v>
      </c>
      <c r="B62" s="48">
        <v>42360</v>
      </c>
      <c r="C62" s="48">
        <v>44012</v>
      </c>
      <c r="D62" s="49" t="s">
        <v>4</v>
      </c>
      <c r="E62" s="49">
        <v>30000</v>
      </c>
      <c r="F62" s="49">
        <v>2000</v>
      </c>
      <c r="G62" s="122">
        <v>24000</v>
      </c>
      <c r="H62" s="123">
        <v>13300</v>
      </c>
      <c r="I62" s="123"/>
      <c r="J62" s="123"/>
      <c r="K62" s="123">
        <f>50830.52773+I62</f>
        <v>50830.527730000002</v>
      </c>
      <c r="L62" s="123">
        <f>4989.21524+J62</f>
        <v>4989.2152400000004</v>
      </c>
      <c r="M62" s="74" t="s">
        <v>91</v>
      </c>
    </row>
    <row r="63" spans="1:18" ht="60" customHeight="1">
      <c r="A63" s="53" t="s">
        <v>56</v>
      </c>
      <c r="B63" s="48">
        <v>41506</v>
      </c>
      <c r="C63" s="28">
        <v>43332</v>
      </c>
      <c r="D63" s="49" t="s">
        <v>4</v>
      </c>
      <c r="E63" s="49">
        <v>40000</v>
      </c>
      <c r="F63" s="49">
        <v>8000</v>
      </c>
      <c r="G63" s="122">
        <v>0</v>
      </c>
      <c r="H63" s="123">
        <v>0</v>
      </c>
      <c r="I63" s="123"/>
      <c r="J63" s="68"/>
      <c r="K63" s="123">
        <f>94366.09243+I63</f>
        <v>94366.092430000004</v>
      </c>
      <c r="L63" s="123">
        <f>19321.80063+J63</f>
        <v>19321.800630000002</v>
      </c>
      <c r="M63" s="74" t="s">
        <v>92</v>
      </c>
    </row>
    <row r="64" spans="1:18" ht="47.25" customHeight="1" thickBot="1">
      <c r="A64" s="29" t="s">
        <v>50</v>
      </c>
      <c r="B64" s="30">
        <v>41480</v>
      </c>
      <c r="C64" s="30">
        <v>43889</v>
      </c>
      <c r="D64" s="31" t="s">
        <v>1</v>
      </c>
      <c r="E64" s="31"/>
      <c r="F64" s="31">
        <v>10052.155000000001</v>
      </c>
      <c r="G64" s="31">
        <v>0</v>
      </c>
      <c r="H64" s="63">
        <v>400</v>
      </c>
      <c r="I64" s="63"/>
      <c r="J64" s="140">
        <v>411.07107999999999</v>
      </c>
      <c r="K64" s="63"/>
      <c r="L64" s="63">
        <v>21300.402380000003</v>
      </c>
      <c r="M64" s="78" t="s">
        <v>69</v>
      </c>
    </row>
    <row r="65" spans="1:13" s="7" customFormat="1" ht="30" customHeight="1" thickBot="1">
      <c r="A65" s="162" t="s">
        <v>24</v>
      </c>
      <c r="B65" s="163"/>
      <c r="C65" s="163"/>
      <c r="D65" s="163"/>
      <c r="E65" s="163"/>
      <c r="F65" s="164"/>
      <c r="G65" s="35">
        <f>SUM(G66:G77)</f>
        <v>44000</v>
      </c>
      <c r="H65" s="35">
        <f>SUM(H66:H77)</f>
        <v>7000</v>
      </c>
      <c r="I65" s="35">
        <f>SUM(I66:I77)</f>
        <v>0</v>
      </c>
      <c r="J65" s="35">
        <f>SUM(J66:J77)</f>
        <v>0</v>
      </c>
      <c r="K65" s="35">
        <f>SUM(K66:K77)</f>
        <v>291367.32053500001</v>
      </c>
      <c r="L65" s="35">
        <f>SUM(L66:L77)</f>
        <v>20950.680079999998</v>
      </c>
      <c r="M65" s="81"/>
    </row>
    <row r="66" spans="1:13" ht="95.25" customHeight="1">
      <c r="A66" s="82" t="s">
        <v>82</v>
      </c>
      <c r="B66" s="83">
        <v>43105</v>
      </c>
      <c r="C66" s="83" t="s">
        <v>83</v>
      </c>
      <c r="D66" s="73" t="s">
        <v>4</v>
      </c>
      <c r="E66" s="73">
        <v>28000</v>
      </c>
      <c r="F66" s="73">
        <v>7000</v>
      </c>
      <c r="G66" s="125">
        <v>10000</v>
      </c>
      <c r="H66" s="127">
        <v>5000</v>
      </c>
      <c r="I66" s="127"/>
      <c r="J66" s="127"/>
      <c r="K66" s="127">
        <f>19889.77292+I66</f>
        <v>19889.772919999999</v>
      </c>
      <c r="L66" s="127"/>
      <c r="M66" s="79" t="s">
        <v>103</v>
      </c>
    </row>
    <row r="67" spans="1:13" ht="48.75" customHeight="1">
      <c r="A67" s="55" t="s">
        <v>38</v>
      </c>
      <c r="B67" s="166">
        <v>41572</v>
      </c>
      <c r="C67" s="166">
        <v>43463</v>
      </c>
      <c r="D67" s="169" t="s">
        <v>4</v>
      </c>
      <c r="E67" s="169">
        <f>25200+35000</f>
        <v>60200</v>
      </c>
      <c r="F67" s="49">
        <v>8000</v>
      </c>
      <c r="G67" s="122">
        <v>5000</v>
      </c>
      <c r="H67" s="123"/>
      <c r="I67" s="123"/>
      <c r="J67" s="123"/>
      <c r="K67" s="123">
        <f>93155.934555+I67</f>
        <v>93155.934555</v>
      </c>
      <c r="L67" s="123">
        <f>20950.68008+J67</f>
        <v>20950.680079999998</v>
      </c>
      <c r="M67" s="156" t="s">
        <v>93</v>
      </c>
    </row>
    <row r="68" spans="1:13" ht="40.9" customHeight="1">
      <c r="A68" s="55" t="s">
        <v>57</v>
      </c>
      <c r="B68" s="167"/>
      <c r="C68" s="167"/>
      <c r="D68" s="170"/>
      <c r="E68" s="170"/>
      <c r="F68" s="49"/>
      <c r="G68" s="122"/>
      <c r="H68" s="123"/>
      <c r="I68" s="123"/>
      <c r="J68" s="123"/>
      <c r="K68" s="123">
        <f>53261.51993+I68</f>
        <v>53261.519930000002</v>
      </c>
      <c r="L68" s="123"/>
      <c r="M68" s="156"/>
    </row>
    <row r="69" spans="1:13" ht="59.25" customHeight="1">
      <c r="A69" s="53" t="s">
        <v>60</v>
      </c>
      <c r="B69" s="168"/>
      <c r="C69" s="168"/>
      <c r="D69" s="171"/>
      <c r="E69" s="171"/>
      <c r="F69" s="49"/>
      <c r="G69" s="122"/>
      <c r="H69" s="123"/>
      <c r="I69" s="123"/>
      <c r="J69" s="68"/>
      <c r="K69" s="123">
        <f>5120.67471+I69</f>
        <v>5120.6747100000002</v>
      </c>
      <c r="L69" s="123"/>
      <c r="M69" s="74" t="s">
        <v>94</v>
      </c>
    </row>
    <row r="70" spans="1:13" ht="87.75" customHeight="1">
      <c r="A70" s="53" t="s">
        <v>39</v>
      </c>
      <c r="B70" s="159">
        <v>41885</v>
      </c>
      <c r="C70" s="159">
        <v>44378</v>
      </c>
      <c r="D70" s="49" t="s">
        <v>1</v>
      </c>
      <c r="E70" s="160">
        <v>60000</v>
      </c>
      <c r="F70" s="49"/>
      <c r="G70" s="122">
        <v>8500</v>
      </c>
      <c r="H70" s="123"/>
      <c r="I70" s="123"/>
      <c r="J70" s="68"/>
      <c r="K70" s="123">
        <f>118003.72586+I70</f>
        <v>118003.72586000001</v>
      </c>
      <c r="L70" s="123"/>
      <c r="M70" s="74" t="s">
        <v>95</v>
      </c>
    </row>
    <row r="71" spans="1:13" ht="49.5" customHeight="1">
      <c r="A71" s="53" t="s">
        <v>61</v>
      </c>
      <c r="B71" s="159"/>
      <c r="C71" s="159"/>
      <c r="D71" s="49" t="s">
        <v>1</v>
      </c>
      <c r="E71" s="183"/>
      <c r="F71" s="49"/>
      <c r="G71" s="122"/>
      <c r="H71" s="123"/>
      <c r="I71" s="123"/>
      <c r="J71" s="68"/>
      <c r="K71" s="123">
        <f>1935.69256+I71</f>
        <v>1935.69256</v>
      </c>
      <c r="L71" s="123"/>
      <c r="M71" s="74" t="s">
        <v>96</v>
      </c>
    </row>
    <row r="72" spans="1:13" ht="153" customHeight="1">
      <c r="A72" s="88" t="s">
        <v>106</v>
      </c>
      <c r="B72" s="87"/>
      <c r="C72" s="87"/>
      <c r="D72" s="105" t="s">
        <v>4</v>
      </c>
      <c r="E72" s="94"/>
      <c r="F72" s="94"/>
      <c r="G72" s="122">
        <v>3500</v>
      </c>
      <c r="H72" s="123"/>
      <c r="I72" s="123"/>
      <c r="J72" s="68"/>
      <c r="K72" s="123">
        <f>I72</f>
        <v>0</v>
      </c>
      <c r="L72" s="123"/>
      <c r="M72" s="89" t="s">
        <v>107</v>
      </c>
    </row>
    <row r="73" spans="1:13" ht="78" customHeight="1">
      <c r="A73" s="88" t="s">
        <v>108</v>
      </c>
      <c r="B73" s="87"/>
      <c r="C73" s="87"/>
      <c r="D73" s="105" t="s">
        <v>1</v>
      </c>
      <c r="E73" s="94"/>
      <c r="F73" s="122"/>
      <c r="G73" s="122">
        <v>3500</v>
      </c>
      <c r="H73" s="123"/>
      <c r="I73" s="123"/>
      <c r="J73" s="68"/>
      <c r="K73" s="123">
        <f t="shared" ref="K73:K77" si="4">I73</f>
        <v>0</v>
      </c>
      <c r="L73" s="123"/>
      <c r="M73" s="89" t="s">
        <v>109</v>
      </c>
    </row>
    <row r="74" spans="1:13" ht="83.25" customHeight="1">
      <c r="A74" s="88" t="s">
        <v>105</v>
      </c>
      <c r="B74" s="166">
        <v>42838</v>
      </c>
      <c r="C74" s="166">
        <v>44742</v>
      </c>
      <c r="D74" s="169" t="s">
        <v>4</v>
      </c>
      <c r="E74" s="169">
        <v>125000</v>
      </c>
      <c r="F74" s="122">
        <v>9900</v>
      </c>
      <c r="G74" s="122">
        <v>4000</v>
      </c>
      <c r="H74" s="123">
        <v>2000</v>
      </c>
      <c r="I74" s="123"/>
      <c r="J74" s="68"/>
      <c r="K74" s="123">
        <f>I74</f>
        <v>0</v>
      </c>
      <c r="L74" s="123">
        <f>J74</f>
        <v>0</v>
      </c>
      <c r="M74" s="89" t="s">
        <v>115</v>
      </c>
    </row>
    <row r="75" spans="1:13" ht="110.25" customHeight="1">
      <c r="A75" s="88" t="s">
        <v>110</v>
      </c>
      <c r="B75" s="167"/>
      <c r="C75" s="167"/>
      <c r="D75" s="170"/>
      <c r="E75" s="170"/>
      <c r="F75" s="122"/>
      <c r="G75" s="122">
        <v>4000</v>
      </c>
      <c r="H75" s="123"/>
      <c r="I75" s="123"/>
      <c r="J75" s="68"/>
      <c r="K75" s="123">
        <f t="shared" si="4"/>
        <v>0</v>
      </c>
      <c r="L75" s="123"/>
      <c r="M75" s="89" t="s">
        <v>111</v>
      </c>
    </row>
    <row r="76" spans="1:13" ht="49.5" customHeight="1">
      <c r="A76" s="100" t="s">
        <v>118</v>
      </c>
      <c r="B76" s="168"/>
      <c r="C76" s="168"/>
      <c r="D76" s="171"/>
      <c r="E76" s="171"/>
      <c r="F76" s="122"/>
      <c r="G76" s="122">
        <v>2500</v>
      </c>
      <c r="H76" s="123"/>
      <c r="I76" s="123"/>
      <c r="J76" s="68"/>
      <c r="K76" s="123">
        <f>I76</f>
        <v>0</v>
      </c>
      <c r="L76" s="123"/>
      <c r="M76" s="101" t="s">
        <v>119</v>
      </c>
    </row>
    <row r="77" spans="1:13" ht="54" customHeight="1" thickBot="1">
      <c r="A77" s="100" t="s">
        <v>117</v>
      </c>
      <c r="B77" s="96"/>
      <c r="C77" s="28"/>
      <c r="D77" s="105" t="s">
        <v>4</v>
      </c>
      <c r="E77" s="94"/>
      <c r="F77" s="122"/>
      <c r="G77" s="122">
        <v>3000</v>
      </c>
      <c r="H77" s="123"/>
      <c r="I77" s="123"/>
      <c r="J77" s="68"/>
      <c r="K77" s="123">
        <f t="shared" si="4"/>
        <v>0</v>
      </c>
      <c r="L77" s="123"/>
      <c r="M77" s="101" t="s">
        <v>119</v>
      </c>
    </row>
    <row r="78" spans="1:13" ht="36.6" customHeight="1" thickBot="1">
      <c r="A78" s="234" t="s">
        <v>25</v>
      </c>
      <c r="B78" s="235"/>
      <c r="C78" s="235"/>
      <c r="D78" s="235"/>
      <c r="E78" s="235"/>
      <c r="F78" s="236"/>
      <c r="G78" s="33">
        <f>G79+G83+G84+G82</f>
        <v>41000</v>
      </c>
      <c r="H78" s="33">
        <f t="shared" ref="H78:L78" si="5">H79+H83+H84+H82</f>
        <v>4000</v>
      </c>
      <c r="I78" s="33">
        <f t="shared" si="5"/>
        <v>535.91713000000004</v>
      </c>
      <c r="J78" s="33">
        <f t="shared" si="5"/>
        <v>601.16408999999999</v>
      </c>
      <c r="K78" s="33">
        <f t="shared" si="5"/>
        <v>84267.593815999993</v>
      </c>
      <c r="L78" s="33">
        <f t="shared" si="5"/>
        <v>11065.06358</v>
      </c>
      <c r="M78" s="80"/>
    </row>
    <row r="79" spans="1:13" s="7" customFormat="1" ht="58.5" customHeight="1">
      <c r="A79" s="181" t="s">
        <v>18</v>
      </c>
      <c r="B79" s="36">
        <v>42052</v>
      </c>
      <c r="C79" s="37">
        <v>44121</v>
      </c>
      <c r="D79" s="51" t="s">
        <v>0</v>
      </c>
      <c r="E79" s="51">
        <v>8610</v>
      </c>
      <c r="F79" s="51"/>
      <c r="G79" s="182">
        <v>3400</v>
      </c>
      <c r="H79" s="177">
        <v>4000</v>
      </c>
      <c r="I79" s="177">
        <v>436.73759000000001</v>
      </c>
      <c r="J79" s="177">
        <v>601.16408999999999</v>
      </c>
      <c r="K79" s="177">
        <f>25190.21929+I79</f>
        <v>25626.956880000002</v>
      </c>
      <c r="L79" s="177">
        <f>10463.89949+J79</f>
        <v>11065.06358</v>
      </c>
      <c r="M79" s="178" t="s">
        <v>170</v>
      </c>
    </row>
    <row r="80" spans="1:13" ht="58.9" customHeight="1">
      <c r="A80" s="158"/>
      <c r="B80" s="28">
        <v>41978</v>
      </c>
      <c r="C80" s="38">
        <v>42735</v>
      </c>
      <c r="D80" s="49" t="s">
        <v>1</v>
      </c>
      <c r="E80" s="49"/>
      <c r="F80" s="49">
        <v>500</v>
      </c>
      <c r="G80" s="160"/>
      <c r="H80" s="161"/>
      <c r="I80" s="161"/>
      <c r="J80" s="161"/>
      <c r="K80" s="161"/>
      <c r="L80" s="161"/>
      <c r="M80" s="179"/>
    </row>
    <row r="81" spans="1:13" ht="94.5" customHeight="1">
      <c r="A81" s="158"/>
      <c r="B81" s="28">
        <v>42052</v>
      </c>
      <c r="C81" s="39">
        <v>43513</v>
      </c>
      <c r="D81" s="49" t="s">
        <v>1</v>
      </c>
      <c r="E81" s="49"/>
      <c r="F81" s="49">
        <v>5300</v>
      </c>
      <c r="G81" s="160"/>
      <c r="H81" s="161"/>
      <c r="I81" s="161"/>
      <c r="J81" s="161"/>
      <c r="K81" s="161"/>
      <c r="L81" s="161"/>
      <c r="M81" s="180"/>
    </row>
    <row r="82" spans="1:13" ht="84" customHeight="1">
      <c r="A82" s="120" t="s">
        <v>154</v>
      </c>
      <c r="B82" s="124">
        <v>43486</v>
      </c>
      <c r="C82" s="141">
        <v>46022</v>
      </c>
      <c r="D82" s="123" t="s">
        <v>4</v>
      </c>
      <c r="E82" s="123">
        <v>16000</v>
      </c>
      <c r="F82" s="122"/>
      <c r="G82" s="122">
        <v>3600</v>
      </c>
      <c r="H82" s="123"/>
      <c r="I82" s="133"/>
      <c r="J82" s="133"/>
      <c r="K82" s="133">
        <f>I82</f>
        <v>0</v>
      </c>
      <c r="L82" s="133"/>
      <c r="M82" s="126" t="s">
        <v>176</v>
      </c>
    </row>
    <row r="83" spans="1:13" ht="69" customHeight="1">
      <c r="A83" s="158" t="s">
        <v>17</v>
      </c>
      <c r="B83" s="159">
        <v>41964</v>
      </c>
      <c r="C83" s="159">
        <v>44408</v>
      </c>
      <c r="D83" s="213" t="s">
        <v>0</v>
      </c>
      <c r="E83" s="160">
        <v>32400</v>
      </c>
      <c r="F83" s="160"/>
      <c r="G83" s="122">
        <v>20000</v>
      </c>
      <c r="H83" s="122"/>
      <c r="I83" s="133">
        <v>86.156720000000007</v>
      </c>
      <c r="J83" s="135"/>
      <c r="K83" s="133">
        <f>52753.634536+I83</f>
        <v>52839.791255999997</v>
      </c>
      <c r="L83" s="133"/>
      <c r="M83" s="115" t="s">
        <v>97</v>
      </c>
    </row>
    <row r="84" spans="1:13" ht="79.5" customHeight="1">
      <c r="A84" s="158"/>
      <c r="B84" s="159"/>
      <c r="C84" s="159"/>
      <c r="D84" s="213"/>
      <c r="E84" s="160"/>
      <c r="F84" s="160"/>
      <c r="G84" s="122">
        <v>14000</v>
      </c>
      <c r="H84" s="122"/>
      <c r="I84" s="133">
        <v>13.022819999999999</v>
      </c>
      <c r="J84" s="135"/>
      <c r="K84" s="133">
        <f>5787.82286+I84</f>
        <v>5800.8456800000004</v>
      </c>
      <c r="L84" s="133"/>
      <c r="M84" s="114" t="s">
        <v>98</v>
      </c>
    </row>
    <row r="85" spans="1:13" ht="50.45" customHeight="1" thickBot="1">
      <c r="A85" s="237" t="s">
        <v>26</v>
      </c>
      <c r="B85" s="238"/>
      <c r="C85" s="238"/>
      <c r="D85" s="238"/>
      <c r="E85" s="238"/>
      <c r="F85" s="239"/>
      <c r="G85" s="35">
        <f t="shared" ref="G85:L85" si="6">SUM(G86:G87)</f>
        <v>0</v>
      </c>
      <c r="H85" s="35">
        <f t="shared" si="6"/>
        <v>4600</v>
      </c>
      <c r="I85" s="35">
        <f t="shared" si="6"/>
        <v>0</v>
      </c>
      <c r="J85" s="35">
        <f t="shared" si="6"/>
        <v>37.966099999999997</v>
      </c>
      <c r="K85" s="35">
        <f t="shared" si="6"/>
        <v>0</v>
      </c>
      <c r="L85" s="35">
        <f t="shared" si="6"/>
        <v>26310.4005</v>
      </c>
      <c r="M85" s="81"/>
    </row>
    <row r="86" spans="1:13" s="7" customFormat="1" ht="165.75" customHeight="1">
      <c r="A86" s="52" t="s">
        <v>22</v>
      </c>
      <c r="B86" s="36">
        <v>40119</v>
      </c>
      <c r="C86" s="54">
        <v>43465</v>
      </c>
      <c r="D86" s="51" t="s">
        <v>4</v>
      </c>
      <c r="E86" s="51"/>
      <c r="F86" s="59">
        <v>2267</v>
      </c>
      <c r="G86" s="125">
        <v>0</v>
      </c>
      <c r="H86" s="125">
        <v>2500</v>
      </c>
      <c r="I86" s="127"/>
      <c r="J86" s="136">
        <v>37.966099999999997</v>
      </c>
      <c r="K86" s="132"/>
      <c r="L86" s="132">
        <f>7453.02009+J86</f>
        <v>7490.9861899999996</v>
      </c>
      <c r="M86" s="79" t="s">
        <v>99</v>
      </c>
    </row>
    <row r="87" spans="1:13" ht="178.5" customHeight="1" thickBot="1">
      <c r="A87" s="29" t="s">
        <v>16</v>
      </c>
      <c r="B87" s="40">
        <v>40589</v>
      </c>
      <c r="C87" s="40">
        <v>43100</v>
      </c>
      <c r="D87" s="34" t="s">
        <v>4</v>
      </c>
      <c r="E87" s="31"/>
      <c r="F87" s="31">
        <v>8250</v>
      </c>
      <c r="G87" s="31">
        <v>0</v>
      </c>
      <c r="H87" s="31">
        <v>2100</v>
      </c>
      <c r="I87" s="63"/>
      <c r="J87" s="63"/>
      <c r="K87" s="63"/>
      <c r="L87" s="63">
        <f>18819.41431+J87</f>
        <v>18819.41431</v>
      </c>
      <c r="M87" s="78" t="s">
        <v>171</v>
      </c>
    </row>
    <row r="88" spans="1:13" ht="57" customHeight="1" thickBot="1">
      <c r="A88" s="234" t="s">
        <v>5</v>
      </c>
      <c r="B88" s="235"/>
      <c r="C88" s="235"/>
      <c r="D88" s="235"/>
      <c r="E88" s="235"/>
      <c r="F88" s="236"/>
      <c r="G88" s="33">
        <f t="shared" ref="G88:L88" si="7">SUM(G89:G96)</f>
        <v>171900</v>
      </c>
      <c r="H88" s="33">
        <f t="shared" si="7"/>
        <v>5050</v>
      </c>
      <c r="I88" s="33">
        <f t="shared" si="7"/>
        <v>439.61541999999997</v>
      </c>
      <c r="J88" s="33">
        <f t="shared" si="7"/>
        <v>0</v>
      </c>
      <c r="K88" s="33">
        <f t="shared" si="7"/>
        <v>239861.95057999998</v>
      </c>
      <c r="L88" s="33">
        <f t="shared" si="7"/>
        <v>0</v>
      </c>
      <c r="M88" s="80"/>
    </row>
    <row r="89" spans="1:13" s="7" customFormat="1" ht="47.25" customHeight="1">
      <c r="A89" s="82" t="s">
        <v>155</v>
      </c>
      <c r="B89" s="231">
        <v>43634</v>
      </c>
      <c r="C89" s="231">
        <v>46112</v>
      </c>
      <c r="D89" s="155" t="s">
        <v>4</v>
      </c>
      <c r="E89" s="152">
        <v>90000</v>
      </c>
      <c r="F89" s="154"/>
      <c r="G89" s="154">
        <v>5000</v>
      </c>
      <c r="H89" s="152"/>
      <c r="I89" s="152"/>
      <c r="J89" s="155"/>
      <c r="K89" s="152">
        <f>I89</f>
        <v>0</v>
      </c>
      <c r="L89" s="146"/>
      <c r="M89" s="128" t="s">
        <v>172</v>
      </c>
    </row>
    <row r="90" spans="1:13" ht="57" customHeight="1">
      <c r="A90" s="149" t="s">
        <v>156</v>
      </c>
      <c r="B90" s="232">
        <v>43630</v>
      </c>
      <c r="C90" s="232">
        <v>45000</v>
      </c>
      <c r="D90" s="151" t="s">
        <v>4</v>
      </c>
      <c r="E90" s="150">
        <v>20000</v>
      </c>
      <c r="F90" s="150"/>
      <c r="G90" s="150">
        <v>1300</v>
      </c>
      <c r="H90" s="150">
        <v>1900</v>
      </c>
      <c r="I90" s="150"/>
      <c r="J90" s="151"/>
      <c r="K90" s="153">
        <f t="shared" ref="K90:K91" si="8">I90</f>
        <v>0</v>
      </c>
      <c r="L90" s="147">
        <f>J90</f>
        <v>0</v>
      </c>
      <c r="M90" s="233" t="s">
        <v>173</v>
      </c>
    </row>
    <row r="91" spans="1:13" ht="66" customHeight="1">
      <c r="A91" s="149" t="s">
        <v>175</v>
      </c>
      <c r="B91" s="232"/>
      <c r="C91" s="232"/>
      <c r="D91" s="151"/>
      <c r="E91" s="150"/>
      <c r="F91" s="150"/>
      <c r="G91" s="150">
        <v>2000</v>
      </c>
      <c r="H91" s="150"/>
      <c r="I91" s="150"/>
      <c r="J91" s="151"/>
      <c r="K91" s="153">
        <f t="shared" si="8"/>
        <v>0</v>
      </c>
      <c r="L91" s="150"/>
      <c r="M91" s="148" t="s">
        <v>174</v>
      </c>
    </row>
    <row r="92" spans="1:13" ht="43.15" customHeight="1">
      <c r="A92" s="90" t="s">
        <v>51</v>
      </c>
      <c r="B92" s="48">
        <v>42661</v>
      </c>
      <c r="C92" s="48">
        <v>44377</v>
      </c>
      <c r="D92" s="49" t="s">
        <v>4</v>
      </c>
      <c r="E92" s="49">
        <v>14000</v>
      </c>
      <c r="F92" s="49"/>
      <c r="G92" s="142">
        <v>6100</v>
      </c>
      <c r="H92" s="143">
        <v>1500</v>
      </c>
      <c r="I92" s="142">
        <v>4.7478199999999999</v>
      </c>
      <c r="J92" s="142"/>
      <c r="K92" s="142">
        <f>I92</f>
        <v>4.7478199999999999</v>
      </c>
      <c r="L92" s="27">
        <v>0</v>
      </c>
      <c r="M92" s="74" t="s">
        <v>131</v>
      </c>
    </row>
    <row r="93" spans="1:13" ht="66" customHeight="1">
      <c r="A93" s="56" t="s">
        <v>41</v>
      </c>
      <c r="B93" s="45">
        <v>42346</v>
      </c>
      <c r="C93" s="45">
        <v>43228</v>
      </c>
      <c r="D93" s="46" t="s">
        <v>4</v>
      </c>
      <c r="E93" s="46">
        <v>82821</v>
      </c>
      <c r="F93" s="49"/>
      <c r="G93" s="142">
        <v>35000</v>
      </c>
      <c r="H93" s="143"/>
      <c r="I93" s="142"/>
      <c r="J93" s="142"/>
      <c r="K93" s="142">
        <f>226048.34892+I93</f>
        <v>226048.34891999999</v>
      </c>
      <c r="L93" s="142"/>
      <c r="M93" s="74" t="s">
        <v>66</v>
      </c>
    </row>
    <row r="94" spans="1:13" ht="72" customHeight="1">
      <c r="A94" s="57" t="s">
        <v>64</v>
      </c>
      <c r="B94" s="45">
        <v>42929</v>
      </c>
      <c r="C94" s="45">
        <v>43830</v>
      </c>
      <c r="D94" s="46" t="s">
        <v>4</v>
      </c>
      <c r="E94" s="46">
        <v>5500</v>
      </c>
      <c r="F94" s="49">
        <v>1500</v>
      </c>
      <c r="G94" s="142">
        <v>2500</v>
      </c>
      <c r="H94" s="143">
        <v>1650</v>
      </c>
      <c r="I94" s="142"/>
      <c r="J94" s="142"/>
      <c r="K94" s="142">
        <f>8749.28036+I94</f>
        <v>8749.2803600000007</v>
      </c>
      <c r="L94" s="27">
        <v>0</v>
      </c>
      <c r="M94" s="74" t="s">
        <v>126</v>
      </c>
    </row>
    <row r="95" spans="1:13" ht="54" customHeight="1">
      <c r="A95" s="57" t="s">
        <v>116</v>
      </c>
      <c r="B95" s="91"/>
      <c r="C95" s="91"/>
      <c r="D95" s="92"/>
      <c r="E95" s="92"/>
      <c r="F95" s="95"/>
      <c r="G95" s="142">
        <v>100000</v>
      </c>
      <c r="H95" s="145"/>
      <c r="I95" s="144"/>
      <c r="J95" s="144"/>
      <c r="K95" s="106"/>
      <c r="L95" s="106"/>
      <c r="M95" s="93" t="s">
        <v>119</v>
      </c>
    </row>
    <row r="96" spans="1:13" ht="93" customHeight="1" thickBot="1">
      <c r="A96" s="29" t="s">
        <v>34</v>
      </c>
      <c r="B96" s="40">
        <v>42457</v>
      </c>
      <c r="C96" s="40">
        <v>44316</v>
      </c>
      <c r="D96" s="34" t="s">
        <v>1</v>
      </c>
      <c r="E96" s="31">
        <v>23500</v>
      </c>
      <c r="F96" s="31"/>
      <c r="G96" s="31">
        <v>20000</v>
      </c>
      <c r="H96" s="63"/>
      <c r="I96" s="31">
        <v>434.86759999999998</v>
      </c>
      <c r="J96" s="31"/>
      <c r="K96" s="31">
        <f>4624.70588+I96</f>
        <v>5059.57348</v>
      </c>
      <c r="L96" s="31"/>
      <c r="M96" s="78" t="s">
        <v>134</v>
      </c>
    </row>
    <row r="97" spans="1:13" s="9" customFormat="1" ht="49.5" customHeight="1" thickBot="1">
      <c r="A97" s="41"/>
      <c r="B97" s="42"/>
      <c r="C97" s="42"/>
      <c r="D97" s="43"/>
      <c r="E97" s="44"/>
      <c r="F97" s="35" t="s">
        <v>27</v>
      </c>
      <c r="G97" s="35">
        <f>G88+G85+G78+G65+G56+G37+G7</f>
        <v>1182300</v>
      </c>
      <c r="H97" s="35">
        <f>H88+H85+H78+H65+H56+H37+H7</f>
        <v>46900</v>
      </c>
      <c r="I97" s="35">
        <f>I88+I85+I78+I65+I56+I37+I7</f>
        <v>22837.37905</v>
      </c>
      <c r="J97" s="35">
        <f>J88+J85+J78+J65+J56+J37+J7</f>
        <v>1054.4263999999998</v>
      </c>
      <c r="K97" s="35">
        <f>K88+K85+K78+K65+K56+K37+K7</f>
        <v>4953772.1168649998</v>
      </c>
      <c r="L97" s="35">
        <f>L88+L85+L78+L65+L56+L37+L7</f>
        <v>226795.11924000003</v>
      </c>
      <c r="M97" s="75"/>
    </row>
    <row r="98" spans="1:13" s="6" customFormat="1" ht="40.5" customHeight="1">
      <c r="A98" s="10"/>
      <c r="B98" s="8"/>
      <c r="C98" s="8"/>
      <c r="D98" s="10"/>
      <c r="E98" s="10"/>
      <c r="F98" s="10"/>
      <c r="G98" s="10"/>
      <c r="H98" s="10"/>
      <c r="I98" s="10"/>
      <c r="J98" s="10"/>
      <c r="K98" s="10"/>
      <c r="L98" s="10"/>
      <c r="M98" s="13"/>
    </row>
    <row r="99" spans="1:13" ht="26.25" customHeight="1">
      <c r="A99" s="214" t="s">
        <v>31</v>
      </c>
      <c r="B99" s="214"/>
      <c r="C99" s="214"/>
      <c r="D99" s="214"/>
      <c r="E99" s="214"/>
      <c r="F99" s="214"/>
      <c r="G99" s="214"/>
      <c r="H99" s="214"/>
      <c r="I99" s="214"/>
      <c r="J99" s="214"/>
      <c r="K99" s="214"/>
      <c r="L99" s="214"/>
    </row>
    <row r="100" spans="1:13" ht="24.75" customHeight="1">
      <c r="A100" s="1" t="s">
        <v>35</v>
      </c>
      <c r="B100" s="2"/>
      <c r="D100" s="1"/>
      <c r="E100" s="1"/>
      <c r="F100" s="1"/>
      <c r="H100" s="1"/>
      <c r="I100" s="1"/>
      <c r="J100" s="1"/>
      <c r="K100" s="1"/>
      <c r="L100" s="1"/>
    </row>
    <row r="101" spans="1:13" ht="24" customHeight="1">
      <c r="A101" s="1"/>
      <c r="B101" s="2"/>
      <c r="D101" s="1"/>
      <c r="E101" s="1"/>
      <c r="F101" s="1"/>
      <c r="H101" s="1"/>
      <c r="I101" s="1"/>
      <c r="J101" s="1"/>
      <c r="K101" s="1"/>
      <c r="L101" s="1"/>
    </row>
    <row r="102" spans="1:13">
      <c r="G102" s="11">
        <f>G97-'[1]WEB-2019'!$G$98</f>
        <v>0</v>
      </c>
      <c r="H102" s="12">
        <f>H97-'[1]WEB-2019'!$H$98</f>
        <v>0</v>
      </c>
      <c r="I102" s="12">
        <f>I97-'[1]WEB-2019'!$I$98</f>
        <v>0</v>
      </c>
      <c r="J102" s="12">
        <f>J97-'[1]WEB-2019'!$J$98</f>
        <v>0</v>
      </c>
      <c r="K102" s="12">
        <f>K97-'[1]WEB-2019'!$K$98</f>
        <v>0</v>
      </c>
      <c r="L102" s="12">
        <f>L97-'[1]WEB-2019'!$L$98</f>
        <v>0</v>
      </c>
    </row>
    <row r="103" spans="1:13" ht="39" customHeight="1">
      <c r="G103" s="11"/>
      <c r="H103" s="12"/>
      <c r="I103" s="12"/>
      <c r="J103" s="12"/>
      <c r="K103" s="12"/>
      <c r="L103" s="12"/>
    </row>
    <row r="104" spans="1:13" ht="21.75" customHeight="1"/>
  </sheetData>
  <mergeCells count="154">
    <mergeCell ref="A99:L99"/>
    <mergeCell ref="A88:F88"/>
    <mergeCell ref="A85:F85"/>
    <mergeCell ref="M25:M26"/>
    <mergeCell ref="C25:C26"/>
    <mergeCell ref="A25:A26"/>
    <mergeCell ref="D25:D26"/>
    <mergeCell ref="G25:G26"/>
    <mergeCell ref="H25:H26"/>
    <mergeCell ref="I25:I26"/>
    <mergeCell ref="J25:J26"/>
    <mergeCell ref="K25:K26"/>
    <mergeCell ref="L25:L26"/>
    <mergeCell ref="B20:B21"/>
    <mergeCell ref="C20:C21"/>
    <mergeCell ref="D20:D21"/>
    <mergeCell ref="E19:E21"/>
    <mergeCell ref="M18:M19"/>
    <mergeCell ref="L8:L9"/>
    <mergeCell ref="L12:L13"/>
    <mergeCell ref="L10:L11"/>
    <mergeCell ref="H8:H9"/>
    <mergeCell ref="J12:J13"/>
    <mergeCell ref="I8:I9"/>
    <mergeCell ref="M14:M15"/>
    <mergeCell ref="L14:L15"/>
    <mergeCell ref="K14:K15"/>
    <mergeCell ref="F14:F15"/>
    <mergeCell ref="H14:H15"/>
    <mergeCell ref="J14:J15"/>
    <mergeCell ref="H18:H19"/>
    <mergeCell ref="I18:I19"/>
    <mergeCell ref="J18:J19"/>
    <mergeCell ref="K18:K19"/>
    <mergeCell ref="L18:L19"/>
    <mergeCell ref="K8:K9"/>
    <mergeCell ref="K12:K13"/>
    <mergeCell ref="B12:B13"/>
    <mergeCell ref="C8:C9"/>
    <mergeCell ref="C12:C13"/>
    <mergeCell ref="J10:J11"/>
    <mergeCell ref="I10:I11"/>
    <mergeCell ref="F8:F9"/>
    <mergeCell ref="K10:K11"/>
    <mergeCell ref="J8:J9"/>
    <mergeCell ref="H12:H13"/>
    <mergeCell ref="H10:H11"/>
    <mergeCell ref="A83:A84"/>
    <mergeCell ref="B83:B84"/>
    <mergeCell ref="C83:C84"/>
    <mergeCell ref="D83:D84"/>
    <mergeCell ref="E83:E84"/>
    <mergeCell ref="F83:F84"/>
    <mergeCell ref="F41:F42"/>
    <mergeCell ref="J41:J42"/>
    <mergeCell ref="K41:K42"/>
    <mergeCell ref="A56:F56"/>
    <mergeCell ref="A65:F65"/>
    <mergeCell ref="A78:F78"/>
    <mergeCell ref="A41:A42"/>
    <mergeCell ref="B41:B42"/>
    <mergeCell ref="A43:A44"/>
    <mergeCell ref="B43:B44"/>
    <mergeCell ref="C43:C44"/>
    <mergeCell ref="G43:G44"/>
    <mergeCell ref="H43:H44"/>
    <mergeCell ref="I43:I44"/>
    <mergeCell ref="K79:K81"/>
    <mergeCell ref="A8:A9"/>
    <mergeCell ref="A30:A31"/>
    <mergeCell ref="G4:H4"/>
    <mergeCell ref="G5:H5"/>
    <mergeCell ref="C4:C5"/>
    <mergeCell ref="D4:F4"/>
    <mergeCell ref="A12:A13"/>
    <mergeCell ref="A4:A5"/>
    <mergeCell ref="B4:B5"/>
    <mergeCell ref="D5:F5"/>
    <mergeCell ref="A7:F7"/>
    <mergeCell ref="G10:G11"/>
    <mergeCell ref="G8:G9"/>
    <mergeCell ref="B10:B11"/>
    <mergeCell ref="C10:C11"/>
    <mergeCell ref="G12:G13"/>
    <mergeCell ref="C30:C31"/>
    <mergeCell ref="F12:F13"/>
    <mergeCell ref="B8:B9"/>
    <mergeCell ref="G14:G15"/>
    <mergeCell ref="B14:B15"/>
    <mergeCell ref="C14:C15"/>
    <mergeCell ref="A18:A19"/>
    <mergeCell ref="G18:G19"/>
    <mergeCell ref="M4:M5"/>
    <mergeCell ref="M8:M9"/>
    <mergeCell ref="M12:M13"/>
    <mergeCell ref="M30:M31"/>
    <mergeCell ref="M41:M42"/>
    <mergeCell ref="M10:M11"/>
    <mergeCell ref="M58:M59"/>
    <mergeCell ref="J58:J59"/>
    <mergeCell ref="G58:G59"/>
    <mergeCell ref="I58:I59"/>
    <mergeCell ref="K58:K59"/>
    <mergeCell ref="L58:L59"/>
    <mergeCell ref="I5:J5"/>
    <mergeCell ref="K5:L5"/>
    <mergeCell ref="K4:L4"/>
    <mergeCell ref="I4:J4"/>
    <mergeCell ref="L41:L42"/>
    <mergeCell ref="M43:M44"/>
    <mergeCell ref="J43:J44"/>
    <mergeCell ref="K43:K44"/>
    <mergeCell ref="L43:L44"/>
    <mergeCell ref="I41:I42"/>
    <mergeCell ref="G41:G42"/>
    <mergeCell ref="H41:H42"/>
    <mergeCell ref="L79:L81"/>
    <mergeCell ref="M79:M81"/>
    <mergeCell ref="A79:A81"/>
    <mergeCell ref="G79:G81"/>
    <mergeCell ref="H79:H81"/>
    <mergeCell ref="I79:I81"/>
    <mergeCell ref="J79:J81"/>
    <mergeCell ref="B70:B71"/>
    <mergeCell ref="C70:C71"/>
    <mergeCell ref="E70:E71"/>
    <mergeCell ref="B74:B76"/>
    <mergeCell ref="C74:C76"/>
    <mergeCell ref="D74:D76"/>
    <mergeCell ref="E74:E76"/>
    <mergeCell ref="M67:M68"/>
    <mergeCell ref="A10:A11"/>
    <mergeCell ref="A58:A59"/>
    <mergeCell ref="B58:B59"/>
    <mergeCell ref="C58:C59"/>
    <mergeCell ref="F58:F59"/>
    <mergeCell ref="H58:H59"/>
    <mergeCell ref="C41:C42"/>
    <mergeCell ref="A37:F37"/>
    <mergeCell ref="L30:L31"/>
    <mergeCell ref="I12:I13"/>
    <mergeCell ref="K30:K31"/>
    <mergeCell ref="J30:J31"/>
    <mergeCell ref="B67:B69"/>
    <mergeCell ref="C67:C69"/>
    <mergeCell ref="D67:D69"/>
    <mergeCell ref="E67:E69"/>
    <mergeCell ref="A14:A15"/>
    <mergeCell ref="B30:B31"/>
    <mergeCell ref="F30:F31"/>
    <mergeCell ref="G30:G31"/>
    <mergeCell ref="H30:H31"/>
    <mergeCell ref="I30:I31"/>
    <mergeCell ref="I14:I15"/>
  </mergeCells>
  <printOptions horizontalCentered="1"/>
  <pageMargins left="0" right="0" top="0.19685039370078741" bottom="0.23622047244094491" header="0" footer="0"/>
  <pageSetup paperSize="9" scale="31" fitToHeight="0" orientation="landscape" r:id="rId1"/>
  <headerFooter alignWithMargins="0"/>
  <rowBreaks count="2" manualBreakCount="2">
    <brk id="36" max="12" man="1"/>
    <brk id="87"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 Website_ENG</vt:lpstr>
      <vt:lpstr>'For Website_ENG'!Print_Area</vt:lpstr>
      <vt:lpstr>'For Website_ENG'!Print_Titles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dc:creator>
  <cp:lastModifiedBy>Anna Rusieshvili</cp:lastModifiedBy>
  <cp:lastPrinted>2020-02-04T07:25:12Z</cp:lastPrinted>
  <dcterms:created xsi:type="dcterms:W3CDTF">2011-04-14T08:42:21Z</dcterms:created>
  <dcterms:modified xsi:type="dcterms:W3CDTF">2020-03-11T11:01:33Z</dcterms:modified>
</cp:coreProperties>
</file>