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20\January\"/>
    </mc:Choice>
  </mc:AlternateContent>
  <bookViews>
    <workbookView xWindow="330" yWindow="555" windowWidth="28425" windowHeight="5835" tabRatio="177"/>
  </bookViews>
  <sheets>
    <sheet name="For Website_ENG" sheetId="12" r:id="rId1"/>
  </sheets>
  <externalReferences>
    <externalReference r:id="rId2"/>
  </externalReferences>
  <definedNames>
    <definedName name="_xlnm.Print_Area" localSheetId="0">'For Website_ENG'!$A$1:$M$100</definedName>
    <definedName name="_xlnm.Print_Titles" localSheetId="0">'For Website_ENG'!$A:$A,'For Website_ENG'!$4:$6</definedName>
  </definedNames>
  <calcPr calcId="162913"/>
</workbook>
</file>

<file path=xl/calcChain.xml><?xml version="1.0" encoding="utf-8"?>
<calcChain xmlns="http://schemas.openxmlformats.org/spreadsheetml/2006/main">
  <c r="K96" i="12" l="1"/>
  <c r="K94" i="12"/>
  <c r="K93" i="12"/>
  <c r="K92" i="12"/>
  <c r="K91" i="12"/>
  <c r="L90" i="12"/>
  <c r="K90" i="12"/>
  <c r="K89" i="12"/>
  <c r="K36" i="12" l="1"/>
  <c r="K35" i="12"/>
  <c r="K34" i="12"/>
  <c r="K33" i="12"/>
  <c r="K32" i="12"/>
  <c r="K30" i="12"/>
  <c r="K27" i="12"/>
  <c r="K25" i="12"/>
  <c r="K24" i="12"/>
  <c r="K21" i="12"/>
  <c r="K20" i="12"/>
  <c r="K18" i="12"/>
  <c r="L17" i="12"/>
  <c r="K17" i="12"/>
  <c r="K16" i="12"/>
  <c r="K14" i="12"/>
  <c r="K12" i="12"/>
  <c r="K10" i="12"/>
  <c r="K8" i="12"/>
  <c r="L86" i="12"/>
  <c r="K84" i="12"/>
  <c r="K83" i="12"/>
  <c r="K82" i="12"/>
  <c r="L79" i="12"/>
  <c r="K79" i="12"/>
  <c r="K45" i="12"/>
  <c r="K41" i="12"/>
  <c r="L40" i="12"/>
  <c r="K40" i="12"/>
  <c r="K39" i="12"/>
  <c r="L38" i="12"/>
  <c r="K38" i="12"/>
  <c r="L87" i="12" l="1"/>
  <c r="H78" i="12"/>
  <c r="I78" i="12"/>
  <c r="J78" i="12"/>
  <c r="K78" i="12"/>
  <c r="L78" i="12"/>
  <c r="G78" i="12"/>
  <c r="H65" i="12"/>
  <c r="I65" i="12"/>
  <c r="J65" i="12"/>
  <c r="G65" i="12"/>
  <c r="K77" i="12"/>
  <c r="K76" i="12"/>
  <c r="K75" i="12"/>
  <c r="L74" i="12"/>
  <c r="K74" i="12"/>
  <c r="K73" i="12"/>
  <c r="K72" i="12"/>
  <c r="K71" i="12"/>
  <c r="K70" i="12"/>
  <c r="K69" i="12"/>
  <c r="K68" i="12"/>
  <c r="L67" i="12"/>
  <c r="L65" i="12" s="1"/>
  <c r="K67" i="12"/>
  <c r="K66" i="12"/>
  <c r="L63" i="12"/>
  <c r="K63" i="12"/>
  <c r="L62" i="12"/>
  <c r="K62" i="12"/>
  <c r="L61" i="12"/>
  <c r="K61" i="12"/>
  <c r="K60" i="12"/>
  <c r="L57" i="12"/>
  <c r="K57" i="12"/>
  <c r="K55" i="12"/>
  <c r="L54" i="12"/>
  <c r="K54" i="12"/>
  <c r="K53" i="12"/>
  <c r="K52" i="12"/>
  <c r="K51" i="12"/>
  <c r="K50" i="12"/>
  <c r="K49" i="12"/>
  <c r="L47" i="12"/>
  <c r="K47" i="12"/>
  <c r="K46" i="12"/>
  <c r="K43" i="12"/>
  <c r="K65" i="12" l="1"/>
  <c r="I7" i="12"/>
  <c r="G37" i="12" l="1"/>
  <c r="J37" i="12" l="1"/>
  <c r="I37" i="12"/>
  <c r="H37" i="12"/>
  <c r="G56" i="12"/>
  <c r="L37" i="12" l="1"/>
  <c r="K37" i="12"/>
  <c r="I56" i="12" l="1"/>
  <c r="E67" i="12" l="1"/>
  <c r="F61" i="12"/>
  <c r="E61" i="12"/>
  <c r="E59" i="12"/>
  <c r="E58" i="12"/>
  <c r="E42" i="12"/>
  <c r="E41" i="12"/>
  <c r="J7" i="12" l="1"/>
  <c r="H7" i="12"/>
  <c r="G7" i="12"/>
  <c r="L7" i="12"/>
  <c r="K7" i="12" l="1"/>
  <c r="H88" i="12"/>
  <c r="G88" i="12"/>
  <c r="K88" i="12" l="1"/>
  <c r="I88" i="12" l="1"/>
  <c r="J88" i="12"/>
  <c r="L88" i="12"/>
  <c r="G85" i="12"/>
  <c r="G97" i="12" s="1"/>
  <c r="H85" i="12"/>
  <c r="I85" i="12"/>
  <c r="J85" i="12"/>
  <c r="K85" i="12"/>
  <c r="L85" i="12"/>
  <c r="H56" i="12" l="1"/>
  <c r="H97" i="12" s="1"/>
  <c r="I97" i="12"/>
  <c r="J56" i="12"/>
  <c r="J97" i="12" s="1"/>
  <c r="K56" i="12"/>
  <c r="K97" i="12" s="1"/>
  <c r="L56" i="12"/>
  <c r="L97" i="12" s="1"/>
  <c r="I102" i="12" l="1"/>
  <c r="J102" i="12"/>
  <c r="G102" i="12" l="1"/>
  <c r="H102" i="12"/>
  <c r="K102" i="12"/>
  <c r="L102" i="12"/>
</calcChain>
</file>

<file path=xl/sharedStrings.xml><?xml version="1.0" encoding="utf-8"?>
<sst xmlns="http://schemas.openxmlformats.org/spreadsheetml/2006/main" count="251" uniqueCount="177">
  <si>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</si>
  <si>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</si>
  <si>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</si>
  <si>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</si>
  <si>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</si>
  <si>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</si>
  <si>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</si>
  <si>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</si>
  <si>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</si>
  <si>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</si>
  <si>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</si>
  <si>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</si>
  <si>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</si>
  <si>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</si>
  <si>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</si>
  <si>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</si>
  <si>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</si>
  <si>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</si>
  <si>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</si>
  <si>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</si>
  <si>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</si>
  <si>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</si>
  <si>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</si>
  <si>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</si>
  <si>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</si>
  <si>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</si>
  <si>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</si>
  <si>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</si>
  <si>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</si>
  <si>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</si>
  <si>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</si>
  <si>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</si>
  <si>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</si>
  <si>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</si>
  <si>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</si>
  <si>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</si>
  <si>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</si>
  <si>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</si>
  <si>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</si>
  <si>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</si>
  <si>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</si>
  <si>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</si>
  <si>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</si>
  <si>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</si>
  <si>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</si>
  <si>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</si>
  <si>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</si>
  <si>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</si>
  <si>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</si>
  <si>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</si>
  <si>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</si>
  <si>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</si>
  <si>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</si>
  <si>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</si>
  <si>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</si>
  <si>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</si>
  <si>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</si>
  <si>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</si>
  <si>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</si>
  <si>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</si>
  <si>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</si>
  <si>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</si>
  <si>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</si>
  <si>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</si>
  <si>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</si>
  <si>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</si>
  <si>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</si>
  <si>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</si>
  <si>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</si>
  <si>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</si>
  <si>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</si>
  <si>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</si>
  <si>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</si>
  <si>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</si>
  <si>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</si>
  <si>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</si>
  <si>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</si>
  <si>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</si>
  <si>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</si>
  <si>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</si>
  <si>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</si>
  <si>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</si>
  <si>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</si>
  <si>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</si>
  <si>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</si>
  <si>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</si>
  <si>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</si>
  <si>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</si>
  <si>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</si>
  <si>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</si>
  <si>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</si>
  <si>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</si>
  <si>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</si>
  <si>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</si>
  <si>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</si>
  <si>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</si>
  <si>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</si>
  <si>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</si>
  <si>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</si>
  <si>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</si>
  <si>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</si>
  <si>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</si>
  <si>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</si>
  <si>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</si>
  <si>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</si>
  <si>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</si>
  <si>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</si>
  <si>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</si>
  <si>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</si>
  <si>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</si>
  <si>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</si>
  <si>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</si>
  <si>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</si>
  <si>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</si>
  <si>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</si>
  <si>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</si>
  <si>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</si>
  <si>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</si>
  <si>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</si>
  <si>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</si>
  <si>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</si>
  <si>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</si>
  <si>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</si>
  <si>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</si>
  <si>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</si>
  <si>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</si>
  <si>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</si>
  <si>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</si>
  <si>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</si>
  <si>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</si>
  <si>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</si>
  <si>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</si>
  <si>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</si>
  <si>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</si>
  <si>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</si>
  <si>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</si>
  <si>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t>Implementation of energy efficiency activities in public buildings. (Implementation of renewable and alternative energy sources in administrative and educational buildings) (preparatory works are ongoing).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</si>
  <si>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</si>
  <si>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</si>
  <si>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</si>
  <si>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</si>
  <si>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</si>
  <si>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 xml:space="preserve">  - Construction of Batumi Bypass two-lane 14.3 km Road (construction works are ongoing);
 - Maintenance of approximately 200 km International and Local roads (planned);
- Detailed project preparation works are ongoing for Batumi-Sarfi section. </t>
  </si>
  <si>
    <t xml:space="preserve">Upgrading of approximately 11 km of the existing 2-line East-West Highway Corridor to a  2-line dual carriageway from  Chumateleti to Khevi (mobilization and preparatory works are ongoing). </t>
  </si>
  <si>
    <t>Construction of Poti Bridge on River Rioni  (Tender on  construction of Poti bridge and access roads has been announced).</t>
  </si>
  <si>
    <t>Rehabilitation of secondary and local roads in different regions of Georgia (approx. 225 km in total) (The project was closed on June 30, 2019).</t>
  </si>
  <si>
    <t>Construction of road and tunnel on Kvesheti-Kobi section of Mtskheta-Stepantsminda-Larsi Road. Road section: (Preparatory works are ongoing).</t>
  </si>
  <si>
    <t>Construction of Lochini-Sagarejo (km20-km50) section of Tbilisi-Bakurtsikhe-Lagodekhi Road  (the procedures for identifying the funding sources are ongoing).</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</si>
  <si>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of Zhinvali-Barisakho section. Thre procedures for preparing the documentation  for re-tender is ongoing, which is scheduled to be announced in February 2020);
 -Monitoring and supervision of works contracts (supervision of rehabilitation works of 4 road sections is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</si>
  <si>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 project works are ongoing);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
</t>
  </si>
  <si>
    <t>Amount envisaged in the State Budget 2020</t>
  </si>
  <si>
    <t>Expenditures made during the Year of 2020
(Actual expenditures) **</t>
  </si>
  <si>
    <t xml:space="preserve">As of January 31, 2020 (In thousand) </t>
  </si>
  <si>
    <t xml:space="preserve">Consturction-Rehabilitation of Shorapani Argveta Section of Tbilisi-Senaki-Leselidze Road (ADB)) </t>
  </si>
  <si>
    <t>Dairy Modernization and Market Access Programme  -  DiMMA (IFAD)</t>
  </si>
  <si>
    <t>Georgia I2Q - Innovation, Inclusion and Quality Project (IBRD)</t>
  </si>
  <si>
    <t>Vocational Education Programme I (KfW)</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</si>
  <si>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</si>
  <si>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 xml:space="preserve">  - Construction of the Zemo Osiauri - Chumateleti Section (approximately 14.1 km) of the Highway ( construction works are ongoing for Lot I, agreement for Lot II was terminated, out of which  for 1.9 km section (km-5 + 800-km-7 + 700) the contract was signed with the contracting company of Lot I - Sinohydro. Completion of km7.7 is planned for the end of July 2020, and tender for the remaining part of Lot II (km7.7-km 14.6) is planned in a short time );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</si>
  <si>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
</t>
  </si>
  <si>
    <t xml:space="preserve"> - Construction of a new four lane highway (approx. 52 km) from Samtredia to Grigoleti (construction works are going under the I, II and IV lots, III lot -   the procedures of  pre-qualification is ongoing , the deadline for submitting applications is February 04, 2020);
-  The contract  for  Lot I was terminated and the contract for the remaining works was signed on November 13, 2018. Deadline for completion of works  is December 03, 2020; 
- The contract for Lot II was signed on November 13, 2015. Completion of works  is planned by the end of 2020;
- The contract for Lot  IV  was signed on December 24, 2014. Completion of works  is planned by the end of 2020;
 - Road sections of Poti-Grigoleti and Grigoleti-Kobuleti Bypass Road (  preparation of the Detailed Design was completed);</t>
  </si>
  <si>
    <t xml:space="preserve"> Rehabilitation-reconstruction of Shorapani-Argveta section of Tbilisi-Senaki-Leselidze highway. the contract was signed on January 16,2020. </t>
  </si>
  <si>
    <t>Rehabilitation of secondary and local roads in different regions of Georgia (approx. 200 km in total) (an additional 12 road will be  rehabilitated within the project (approx. 80 km in total), out of which the works for all sections completed. 
-Detailed project preparation has been completed for Bakurtsikhe-Tsnori and Gurjaani-Telavi section.</t>
  </si>
  <si>
    <t>Rehabilitation-reconstruction of the Khulo-Goderdzi Section of the Batumi-Akhaltsikhe Road Project (approximately 29 km 2 lane road) (ongoing).</t>
  </si>
  <si>
    <t xml:space="preserve"> Livable Cities Investment Program (ADB)</t>
  </si>
  <si>
    <t>Urban Transport Development  (EBRD)</t>
  </si>
  <si>
    <t>Municipal Service Improvement Program  (EBRD)</t>
  </si>
  <si>
    <t xml:space="preserve">To purchase 175 new buses for 6 cities (Gori, Kutaisi, Poti, Rustavi, Telavi and Zugdidi )  and rehabilitation of outdated municipal transport. </t>
  </si>
  <si>
    <t xml:space="preserve">To purchase the speciial techniques for improvement of the service quality and security measures in Bakuriani. </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</si>
  <si>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</si>
  <si>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 distributor's internal network and G-3-2-1) and rehabilitation of its other distribution networks (Shida Kartli, Gori) are ongoing;
- Rehabilitation works for  rehabilitation /modernization of Kvemo Alazani Distribution network (G-32 and G-35) and its other distribution networks (Kakheti, Gurjaani) are ongoing;
- Rehabilitation works for rehabilitation of Saltvisi irrigation system networks (alternative and Dzlevijvari networks ) and internal networks (Shida Kartli, Gori, Kareli) are ongoing;
- the construction works of the reservoir in  Iakublos completed (Kvemo Kartli, Dmanisi).
</t>
    </r>
  </si>
  <si>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</si>
  <si>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</si>
  <si>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</si>
  <si>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</si>
  <si>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</si>
  <si>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Development of value chain production / processing /sale and promotion of innovation in this sector. Institutional and organizational development; The program will be implemented in three regions: Imereti, Samegrelo-Zemo Svaneti and Samtskhe-Javakheti.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</si>
</sst>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8">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medium">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40">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49" fontId="5"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49" fontId="7" fillId="0" borderId="45" xfId="1" applyNumberFormat="1" applyFont="1" applyFill="1" applyBorder="1" applyAlignment="1" applyProtection="1">
      <alignment horizontal="left" vertical="center" wrapText="1"/>
      <protection locked="0"/>
    </xf>
    <xf numFmtId="164" fontId="7" fillId="0" borderId="29" xfId="1" applyNumberFormat="1" applyFont="1" applyFill="1" applyBorder="1" applyAlignment="1">
      <alignment horizontal="center" vertical="center"/>
    </xf>
    <xf numFmtId="49" fontId="7" fillId="0" borderId="30" xfId="1" applyNumberFormat="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7" fillId="2" borderId="32" xfId="1" applyNumberFormat="1" applyFont="1" applyFill="1" applyBorder="1" applyAlignment="1">
      <alignment horizontal="center" vertical="center"/>
    </xf>
    <xf numFmtId="164" fontId="7" fillId="2" borderId="29" xfId="1" applyNumberFormat="1" applyFont="1" applyFill="1" applyBorder="1" applyAlignment="1">
      <alignment horizontal="center" vertical="center"/>
    </xf>
    <xf numFmtId="0" fontId="7" fillId="2" borderId="31" xfId="1" applyFont="1" applyFill="1" applyBorder="1" applyAlignment="1">
      <alignment vertical="center" wrapText="1"/>
    </xf>
    <xf numFmtId="164" fontId="7" fillId="0" borderId="38" xfId="1" quotePrefix="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7" fillId="2" borderId="35"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7" fillId="0" borderId="39" xfId="1" applyNumberFormat="1" applyFont="1" applyFill="1" applyBorder="1" applyAlignment="1">
      <alignment horizontal="center" vertical="center"/>
    </xf>
    <xf numFmtId="164" fontId="10" fillId="0" borderId="41" xfId="1" applyNumberFormat="1" applyFont="1" applyFill="1" applyBorder="1" applyAlignment="1">
      <alignment horizontal="center" vertical="center"/>
    </xf>
    <xf numFmtId="43" fontId="10" fillId="0" borderId="32" xfId="11" applyFont="1" applyFill="1" applyBorder="1" applyAlignment="1">
      <alignment horizontal="center" vertical="center"/>
    </xf>
    <xf numFmtId="49" fontId="7" fillId="0" borderId="45" xfId="1" applyNumberFormat="1" applyFont="1" applyFill="1" applyBorder="1" applyAlignment="1">
      <alignment horizontal="left" vertical="center" wrapText="1"/>
    </xf>
    <xf numFmtId="0" fontId="7" fillId="0" borderId="43" xfId="1" applyFont="1" applyFill="1" applyBorder="1" applyAlignment="1">
      <alignment horizontal="left" vertical="center" wrapText="1"/>
    </xf>
    <xf numFmtId="164" fontId="7" fillId="0" borderId="41"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2"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7"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7" fillId="0" borderId="38" xfId="1" applyNumberFormat="1" applyFont="1" applyFill="1" applyBorder="1" applyAlignment="1">
      <alignment horizontal="center" vertical="center"/>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164" fontId="5" fillId="2" borderId="32" xfId="1" applyNumberFormat="1" applyFont="1" applyFill="1" applyBorder="1" applyAlignment="1">
      <alignment horizontal="center" vertical="center"/>
    </xf>
    <xf numFmtId="0" fontId="7" fillId="0" borderId="0" xfId="1" applyFont="1" applyFill="1" applyBorder="1" applyAlignment="1">
      <alignment horizontal="left" vertical="center" wrapText="1"/>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7" fillId="0" borderId="51" xfId="1" quotePrefix="1" applyNumberFormat="1" applyFont="1" applyFill="1" applyBorder="1" applyAlignment="1">
      <alignment horizontal="center" vertical="center"/>
    </xf>
    <xf numFmtId="164" fontId="7"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5" fillId="0" borderId="38" xfId="1" applyNumberFormat="1" applyFont="1" applyFill="1" applyBorder="1" applyAlignment="1">
      <alignment horizontal="center" vertical="center"/>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7" fillId="2" borderId="29" xfId="1" applyNumberFormat="1" applyFont="1" applyFill="1" applyBorder="1" applyAlignment="1">
      <alignment horizontal="center" vertical="center"/>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0" fontId="5" fillId="0" borderId="55" xfId="1" applyFont="1" applyFill="1" applyBorder="1" applyAlignment="1">
      <alignment horizontal="left" vertical="center" wrapText="1"/>
    </xf>
    <xf numFmtId="165" fontId="7" fillId="2" borderId="29" xfId="1" applyNumberFormat="1" applyFont="1" applyFill="1" applyBorder="1" applyAlignment="1">
      <alignment horizontal="center" vertical="center" wrapText="1"/>
    </xf>
    <xf numFmtId="165" fontId="7" fillId="2" borderId="41" xfId="1" applyNumberFormat="1" applyFont="1" applyFill="1" applyBorder="1" applyAlignment="1">
      <alignment horizontal="center" vertical="center" wrapText="1"/>
    </xf>
    <xf numFmtId="49" fontId="7" fillId="2" borderId="45" xfId="1" applyNumberFormat="1" applyFont="1" applyFill="1" applyBorder="1" applyAlignment="1">
      <alignment horizontal="left" vertical="center" wrapText="1"/>
    </xf>
    <xf numFmtId="0" fontId="12" fillId="3" borderId="1" xfId="1" applyFont="1" applyFill="1" applyBorder="1" applyAlignment="1">
      <alignment horizontal="left" vertical="center"/>
    </xf>
    <xf numFmtId="0" fontId="12" fillId="3" borderId="3" xfId="1" applyFont="1" applyFill="1" applyBorder="1" applyAlignment="1">
      <alignment horizontal="left" vertical="center"/>
    </xf>
    <xf numFmtId="0" fontId="12" fillId="3" borderId="2" xfId="1" applyFont="1" applyFill="1" applyBorder="1" applyAlignment="1">
      <alignment horizontal="left" vertical="center"/>
    </xf>
    <xf numFmtId="0" fontId="12" fillId="3" borderId="56" xfId="1" applyFont="1" applyFill="1" applyBorder="1" applyAlignment="1">
      <alignment horizontal="left" vertical="center"/>
    </xf>
    <xf numFmtId="0" fontId="12" fillId="3" borderId="57" xfId="1" applyFont="1" applyFill="1" applyBorder="1" applyAlignment="1">
      <alignment horizontal="left" vertical="center"/>
    </xf>
    <xf numFmtId="0" fontId="12" fillId="3" borderId="58" xfId="1" applyFont="1" applyFill="1" applyBorder="1" applyAlignment="1">
      <alignment horizontal="left" vertical="center"/>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20_January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8">
          <cell r="G98">
            <v>1182300</v>
          </cell>
          <cell r="H98">
            <v>46900</v>
          </cell>
          <cell r="I98">
            <v>22837.37905</v>
          </cell>
          <cell r="J98">
            <v>1054.4264000000001</v>
          </cell>
          <cell r="K98">
            <v>4953772.1168650007</v>
          </cell>
          <cell r="L98">
            <v>226795.11923999997</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104"/>
  <sheetViews>
    <sheetView showGridLines="0" tabSelected="1" view="pageBreakPreview" topLeftCell="A88" zoomScale="70" zoomScaleNormal="60" zoomScaleSheetLayoutView="70" zoomScalePageLayoutView="40" workbookViewId="0">
      <selection activeCell="A66" sqref="A66"/>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4" width="9.33203125" style="1" customWidth="1"/>
    <col min="15"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104</v>
      </c>
      <c r="B2" s="16"/>
      <c r="C2" s="16"/>
      <c r="D2" s="15"/>
      <c r="E2" s="15"/>
      <c r="F2" s="15"/>
      <c r="G2" s="15"/>
      <c r="H2" s="15"/>
      <c r="I2" s="15"/>
      <c r="J2" s="15"/>
      <c r="K2" s="17"/>
      <c r="L2" s="15"/>
      <c r="M2" s="75"/>
    </row>
    <row r="3" spans="1:13" ht="27" customHeight="1" thickBot="1">
      <c r="A3" s="18" t="s">
        <v>152</v>
      </c>
      <c r="B3" s="19"/>
      <c r="C3" s="19"/>
      <c r="D3" s="20"/>
      <c r="E3" s="20"/>
      <c r="F3" s="20"/>
      <c r="G3" s="20"/>
      <c r="H3" s="20"/>
      <c r="I3" s="20"/>
      <c r="J3" s="20"/>
      <c r="K3" s="20"/>
      <c r="L3" s="20"/>
    </row>
    <row r="4" spans="1:13" s="6" customFormat="1" ht="54.6" customHeight="1">
      <c r="A4" s="200" t="s">
        <v>9</v>
      </c>
      <c r="B4" s="197" t="s">
        <v>65</v>
      </c>
      <c r="C4" s="197" t="s">
        <v>29</v>
      </c>
      <c r="D4" s="191" t="s">
        <v>28</v>
      </c>
      <c r="E4" s="191"/>
      <c r="F4" s="199"/>
      <c r="G4" s="190" t="s">
        <v>150</v>
      </c>
      <c r="H4" s="191"/>
      <c r="I4" s="190" t="s">
        <v>151</v>
      </c>
      <c r="J4" s="191"/>
      <c r="K4" s="189" t="s">
        <v>55</v>
      </c>
      <c r="L4" s="190"/>
      <c r="M4" s="184" t="s">
        <v>30</v>
      </c>
    </row>
    <row r="5" spans="1:13" s="6" customFormat="1" ht="50.45" customHeight="1" thickBot="1">
      <c r="A5" s="201"/>
      <c r="B5" s="198"/>
      <c r="C5" s="198"/>
      <c r="D5" s="202" t="s">
        <v>19</v>
      </c>
      <c r="E5" s="203"/>
      <c r="F5" s="204"/>
      <c r="G5" s="187" t="s">
        <v>6</v>
      </c>
      <c r="H5" s="188"/>
      <c r="I5" s="187" t="s">
        <v>6</v>
      </c>
      <c r="J5" s="188"/>
      <c r="K5" s="187" t="s">
        <v>6</v>
      </c>
      <c r="L5" s="188"/>
      <c r="M5" s="185"/>
    </row>
    <row r="6" spans="1:13" ht="28.5" customHeight="1" thickBot="1">
      <c r="A6" s="21"/>
      <c r="B6" s="22"/>
      <c r="C6" s="22"/>
      <c r="D6" s="23" t="s">
        <v>10</v>
      </c>
      <c r="E6" s="23" t="s">
        <v>11</v>
      </c>
      <c r="F6" s="23" t="s">
        <v>12</v>
      </c>
      <c r="G6" s="23" t="s">
        <v>11</v>
      </c>
      <c r="H6" s="23" t="s">
        <v>12</v>
      </c>
      <c r="I6" s="23" t="s">
        <v>11</v>
      </c>
      <c r="J6" s="23" t="s">
        <v>12</v>
      </c>
      <c r="K6" s="23" t="s">
        <v>11</v>
      </c>
      <c r="L6" s="23" t="s">
        <v>12</v>
      </c>
      <c r="M6" s="76"/>
    </row>
    <row r="7" spans="1:13" s="7" customFormat="1" ht="30" customHeight="1" thickBot="1">
      <c r="A7" s="205" t="s">
        <v>23</v>
      </c>
      <c r="B7" s="206"/>
      <c r="C7" s="206"/>
      <c r="D7" s="206"/>
      <c r="E7" s="206"/>
      <c r="F7" s="207"/>
      <c r="G7" s="24">
        <f t="shared" ref="G7:L7" si="0">SUM(G8:G36)</f>
        <v>592180</v>
      </c>
      <c r="H7" s="24">
        <f t="shared" si="0"/>
        <v>5000</v>
      </c>
      <c r="I7" s="24">
        <f t="shared" si="0"/>
        <v>5366.5504599999995</v>
      </c>
      <c r="J7" s="24">
        <f t="shared" si="0"/>
        <v>2.1659299999999999</v>
      </c>
      <c r="K7" s="24">
        <f t="shared" si="0"/>
        <v>2609646.9115000004</v>
      </c>
      <c r="L7" s="24">
        <f t="shared" si="0"/>
        <v>38449.232550000001</v>
      </c>
      <c r="M7" s="77"/>
    </row>
    <row r="8" spans="1:13" ht="48" customHeight="1">
      <c r="A8" s="195" t="s">
        <v>52</v>
      </c>
      <c r="B8" s="208">
        <v>41431</v>
      </c>
      <c r="C8" s="222">
        <v>43830</v>
      </c>
      <c r="D8" s="25" t="s">
        <v>0</v>
      </c>
      <c r="E8" s="25">
        <v>24500</v>
      </c>
      <c r="F8" s="182"/>
      <c r="G8" s="182">
        <v>400</v>
      </c>
      <c r="H8" s="177"/>
      <c r="I8" s="177">
        <v>40.341459999999998</v>
      </c>
      <c r="J8" s="224"/>
      <c r="K8" s="177">
        <f>163627.86457+I8</f>
        <v>163668.20603</v>
      </c>
      <c r="L8" s="177"/>
      <c r="M8" s="186" t="s">
        <v>157</v>
      </c>
    </row>
    <row r="9" spans="1:13" ht="133.5" customHeight="1">
      <c r="A9" s="157"/>
      <c r="B9" s="159"/>
      <c r="C9" s="223"/>
      <c r="D9" s="26" t="s">
        <v>1</v>
      </c>
      <c r="E9" s="26">
        <v>38000</v>
      </c>
      <c r="F9" s="160"/>
      <c r="G9" s="160"/>
      <c r="H9" s="161"/>
      <c r="I9" s="161"/>
      <c r="J9" s="165"/>
      <c r="K9" s="161"/>
      <c r="L9" s="161"/>
      <c r="M9" s="156"/>
    </row>
    <row r="10" spans="1:13" s="9" customFormat="1" ht="46.9" customHeight="1">
      <c r="A10" s="157" t="s">
        <v>45</v>
      </c>
      <c r="B10" s="159">
        <v>42410</v>
      </c>
      <c r="C10" s="159">
        <v>45291</v>
      </c>
      <c r="D10" s="26" t="s">
        <v>1</v>
      </c>
      <c r="E10" s="26">
        <v>140000</v>
      </c>
      <c r="F10" s="26"/>
      <c r="G10" s="160">
        <v>59300</v>
      </c>
      <c r="H10" s="161"/>
      <c r="I10" s="161">
        <v>17.55</v>
      </c>
      <c r="J10" s="165"/>
      <c r="K10" s="161">
        <f>168216.49098+I10</f>
        <v>168234.04097999999</v>
      </c>
      <c r="L10" s="161"/>
      <c r="M10" s="156" t="s">
        <v>158</v>
      </c>
    </row>
    <row r="11" spans="1:13" s="9" customFormat="1" ht="118.5" customHeight="1">
      <c r="A11" s="157"/>
      <c r="B11" s="159"/>
      <c r="C11" s="159"/>
      <c r="D11" s="26" t="s">
        <v>4</v>
      </c>
      <c r="E11" s="26">
        <v>49450</v>
      </c>
      <c r="F11" s="26"/>
      <c r="G11" s="160"/>
      <c r="H11" s="161"/>
      <c r="I11" s="161"/>
      <c r="J11" s="165"/>
      <c r="K11" s="161"/>
      <c r="L11" s="161"/>
      <c r="M11" s="156"/>
    </row>
    <row r="12" spans="1:13" ht="78" customHeight="1">
      <c r="A12" s="157" t="s">
        <v>54</v>
      </c>
      <c r="B12" s="159">
        <v>40115</v>
      </c>
      <c r="C12" s="159">
        <v>43737</v>
      </c>
      <c r="D12" s="26" t="s">
        <v>0</v>
      </c>
      <c r="E12" s="26">
        <v>75892</v>
      </c>
      <c r="F12" s="160"/>
      <c r="G12" s="160">
        <v>0</v>
      </c>
      <c r="H12" s="161"/>
      <c r="I12" s="161">
        <v>1489.46657</v>
      </c>
      <c r="J12" s="161"/>
      <c r="K12" s="161">
        <f>391974.5999+H12</f>
        <v>391974.59989999997</v>
      </c>
      <c r="L12" s="161"/>
      <c r="M12" s="156" t="s">
        <v>159</v>
      </c>
    </row>
    <row r="13" spans="1:13" ht="28.15" customHeight="1">
      <c r="A13" s="157"/>
      <c r="B13" s="159"/>
      <c r="C13" s="159"/>
      <c r="D13" s="26" t="s">
        <v>2</v>
      </c>
      <c r="E13" s="26">
        <v>140000</v>
      </c>
      <c r="F13" s="160"/>
      <c r="G13" s="160"/>
      <c r="H13" s="161"/>
      <c r="I13" s="161"/>
      <c r="J13" s="161"/>
      <c r="K13" s="161"/>
      <c r="L13" s="161"/>
      <c r="M13" s="156"/>
    </row>
    <row r="14" spans="1:13" s="9" customFormat="1" ht="30" customHeight="1">
      <c r="A14" s="172" t="s">
        <v>53</v>
      </c>
      <c r="B14" s="209" t="s">
        <v>67</v>
      </c>
      <c r="C14" s="209" t="s">
        <v>68</v>
      </c>
      <c r="D14" s="46" t="s">
        <v>4</v>
      </c>
      <c r="E14" s="46">
        <v>108190</v>
      </c>
      <c r="F14" s="169"/>
      <c r="G14" s="169">
        <v>56000</v>
      </c>
      <c r="H14" s="175"/>
      <c r="I14" s="175">
        <v>1723.9992400000001</v>
      </c>
      <c r="J14" s="175"/>
      <c r="K14" s="175">
        <f>117939.54392+H14</f>
        <v>117939.54392</v>
      </c>
      <c r="L14" s="175"/>
      <c r="M14" s="228" t="s">
        <v>142</v>
      </c>
    </row>
    <row r="15" spans="1:13" s="9" customFormat="1" ht="56.25" customHeight="1">
      <c r="A15" s="173"/>
      <c r="B15" s="210"/>
      <c r="C15" s="210"/>
      <c r="D15" s="46" t="s">
        <v>1</v>
      </c>
      <c r="E15" s="46">
        <v>114000</v>
      </c>
      <c r="F15" s="171"/>
      <c r="G15" s="171"/>
      <c r="H15" s="176"/>
      <c r="I15" s="176"/>
      <c r="J15" s="176"/>
      <c r="K15" s="176"/>
      <c r="L15" s="176"/>
      <c r="M15" s="229"/>
    </row>
    <row r="16" spans="1:13" ht="79.5" customHeight="1">
      <c r="A16" s="47" t="s">
        <v>20</v>
      </c>
      <c r="B16" s="14">
        <v>40163</v>
      </c>
      <c r="C16" s="28">
        <v>45101</v>
      </c>
      <c r="D16" s="26" t="s">
        <v>3</v>
      </c>
      <c r="E16" s="26">
        <v>22132000</v>
      </c>
      <c r="F16" s="26"/>
      <c r="G16" s="122">
        <v>130</v>
      </c>
      <c r="H16" s="123"/>
      <c r="I16" s="133">
        <v>82.161969999999997</v>
      </c>
      <c r="J16" s="133"/>
      <c r="K16" s="133">
        <f>396912.82844+I16</f>
        <v>396994.99041000003</v>
      </c>
      <c r="L16" s="133"/>
      <c r="M16" s="74" t="s">
        <v>120</v>
      </c>
    </row>
    <row r="17" spans="1:18" ht="138.75" customHeight="1">
      <c r="A17" s="47" t="s">
        <v>36</v>
      </c>
      <c r="B17" s="14">
        <v>41040</v>
      </c>
      <c r="C17" s="14">
        <v>43797</v>
      </c>
      <c r="D17" s="26" t="s">
        <v>4</v>
      </c>
      <c r="E17" s="26">
        <v>200000</v>
      </c>
      <c r="F17" s="26">
        <v>20000</v>
      </c>
      <c r="G17" s="122">
        <v>37000</v>
      </c>
      <c r="H17" s="123">
        <v>5000</v>
      </c>
      <c r="I17" s="133">
        <v>15.88341</v>
      </c>
      <c r="J17" s="133">
        <v>2.1659299999999999</v>
      </c>
      <c r="K17" s="133">
        <f>353684.85275+I17</f>
        <v>353700.73616000003</v>
      </c>
      <c r="L17" s="133">
        <f>38447.06662+J17</f>
        <v>38449.232550000001</v>
      </c>
      <c r="M17" s="74" t="s">
        <v>160</v>
      </c>
    </row>
    <row r="18" spans="1:18" s="9" customFormat="1" ht="33.6" customHeight="1">
      <c r="A18" s="211" t="s">
        <v>79</v>
      </c>
      <c r="B18" s="67" t="s">
        <v>101</v>
      </c>
      <c r="C18" s="67" t="s">
        <v>102</v>
      </c>
      <c r="D18" s="68" t="s">
        <v>4</v>
      </c>
      <c r="E18" s="68">
        <v>16000</v>
      </c>
      <c r="F18" s="68"/>
      <c r="G18" s="169">
        <v>32500</v>
      </c>
      <c r="H18" s="175"/>
      <c r="I18" s="175">
        <v>1046.4849099999999</v>
      </c>
      <c r="J18" s="175"/>
      <c r="K18" s="175">
        <f>59639.55053+I18</f>
        <v>60686.03544</v>
      </c>
      <c r="L18" s="175"/>
      <c r="M18" s="228" t="s">
        <v>143</v>
      </c>
    </row>
    <row r="19" spans="1:18" s="9" customFormat="1" ht="49.5" customHeight="1">
      <c r="A19" s="212"/>
      <c r="B19" s="67">
        <v>43382</v>
      </c>
      <c r="C19" s="67">
        <v>44539</v>
      </c>
      <c r="D19" s="68" t="s">
        <v>4</v>
      </c>
      <c r="E19" s="225">
        <v>250000</v>
      </c>
      <c r="F19" s="68"/>
      <c r="G19" s="171"/>
      <c r="H19" s="176"/>
      <c r="I19" s="176"/>
      <c r="J19" s="176"/>
      <c r="K19" s="176"/>
      <c r="L19" s="176"/>
      <c r="M19" s="229"/>
    </row>
    <row r="20" spans="1:18" s="9" customFormat="1" ht="45.75" customHeight="1">
      <c r="A20" s="69" t="s">
        <v>77</v>
      </c>
      <c r="B20" s="209">
        <v>42652</v>
      </c>
      <c r="C20" s="209">
        <v>44539</v>
      </c>
      <c r="D20" s="175" t="s">
        <v>4</v>
      </c>
      <c r="E20" s="226"/>
      <c r="F20" s="61"/>
      <c r="G20" s="122">
        <v>84750</v>
      </c>
      <c r="H20" s="122"/>
      <c r="I20" s="133">
        <v>31.678999999999998</v>
      </c>
      <c r="J20" s="133"/>
      <c r="K20" s="133">
        <f>215007.00447+I20</f>
        <v>215038.68347000002</v>
      </c>
      <c r="L20" s="133"/>
      <c r="M20" s="74" t="s">
        <v>138</v>
      </c>
    </row>
    <row r="21" spans="1:18" s="9" customFormat="1" ht="48" customHeight="1">
      <c r="A21" s="69" t="s">
        <v>132</v>
      </c>
      <c r="B21" s="210"/>
      <c r="C21" s="210"/>
      <c r="D21" s="176"/>
      <c r="E21" s="227"/>
      <c r="F21" s="61"/>
      <c r="G21" s="122">
        <v>42000</v>
      </c>
      <c r="H21" s="61"/>
      <c r="I21" s="133">
        <v>451.82366999999999</v>
      </c>
      <c r="J21" s="133"/>
      <c r="K21" s="133">
        <f>32232.72593+I21</f>
        <v>32684.549600000002</v>
      </c>
      <c r="L21" s="133"/>
      <c r="M21" s="74" t="s">
        <v>139</v>
      </c>
    </row>
    <row r="22" spans="1:18" s="9" customFormat="1" ht="59.25" customHeight="1">
      <c r="A22" s="69" t="s">
        <v>76</v>
      </c>
      <c r="B22" s="60"/>
      <c r="C22" s="60"/>
      <c r="D22" s="61"/>
      <c r="E22" s="61"/>
      <c r="F22" s="61"/>
      <c r="G22" s="117"/>
      <c r="H22" s="61"/>
      <c r="I22" s="133"/>
      <c r="J22" s="133"/>
      <c r="K22" s="133"/>
      <c r="L22" s="133"/>
      <c r="M22" s="74" t="s">
        <v>133</v>
      </c>
    </row>
    <row r="23" spans="1:18" s="9" customFormat="1" ht="54.75" customHeight="1">
      <c r="A23" s="69" t="s">
        <v>73</v>
      </c>
      <c r="B23" s="60"/>
      <c r="C23" s="60"/>
      <c r="D23" s="61"/>
      <c r="E23" s="61"/>
      <c r="F23" s="61"/>
      <c r="G23" s="117"/>
      <c r="H23" s="61"/>
      <c r="I23" s="133"/>
      <c r="J23" s="133"/>
      <c r="K23" s="133"/>
      <c r="L23" s="133"/>
      <c r="M23" s="74" t="s">
        <v>81</v>
      </c>
    </row>
    <row r="24" spans="1:18" s="9" customFormat="1" ht="42.75" customHeight="1">
      <c r="A24" s="69" t="s">
        <v>78</v>
      </c>
      <c r="B24" s="86">
        <v>43378</v>
      </c>
      <c r="C24" s="86">
        <v>45657</v>
      </c>
      <c r="D24" s="85" t="s">
        <v>4</v>
      </c>
      <c r="E24" s="85">
        <v>255297</v>
      </c>
      <c r="F24" s="61"/>
      <c r="G24" s="122">
        <v>64750</v>
      </c>
      <c r="H24" s="61"/>
      <c r="I24" s="133">
        <v>61.674880000000002</v>
      </c>
      <c r="J24" s="133"/>
      <c r="K24" s="133">
        <f>125625.3416+I24</f>
        <v>125687.01648000001</v>
      </c>
      <c r="L24" s="133"/>
      <c r="M24" s="74" t="s">
        <v>137</v>
      </c>
    </row>
    <row r="25" spans="1:18" s="9" customFormat="1" ht="28.9" customHeight="1">
      <c r="A25" s="211" t="s">
        <v>80</v>
      </c>
      <c r="B25" s="119">
        <v>43704</v>
      </c>
      <c r="C25" s="166">
        <v>45291</v>
      </c>
      <c r="D25" s="169" t="s">
        <v>4</v>
      </c>
      <c r="E25" s="118">
        <v>370236</v>
      </c>
      <c r="F25" s="61"/>
      <c r="G25" s="169">
        <v>35500</v>
      </c>
      <c r="H25" s="169"/>
      <c r="I25" s="175"/>
      <c r="J25" s="175"/>
      <c r="K25" s="175">
        <f>223666.14134+I25</f>
        <v>223666.14134</v>
      </c>
      <c r="L25" s="175"/>
      <c r="M25" s="228" t="s">
        <v>146</v>
      </c>
    </row>
    <row r="26" spans="1:18" s="9" customFormat="1" ht="38.25" customHeight="1">
      <c r="A26" s="212"/>
      <c r="B26" s="119">
        <v>43749</v>
      </c>
      <c r="C26" s="168"/>
      <c r="D26" s="171"/>
      <c r="E26" s="118">
        <v>53400</v>
      </c>
      <c r="F26" s="61"/>
      <c r="G26" s="171"/>
      <c r="H26" s="171"/>
      <c r="I26" s="176"/>
      <c r="J26" s="176"/>
      <c r="K26" s="176"/>
      <c r="L26" s="176"/>
      <c r="M26" s="229"/>
    </row>
    <row r="27" spans="1:18" s="9" customFormat="1" ht="61.15" customHeight="1">
      <c r="A27" s="137" t="s">
        <v>153</v>
      </c>
      <c r="B27" s="121">
        <v>43796</v>
      </c>
      <c r="C27" s="124">
        <v>44926</v>
      </c>
      <c r="D27" s="122" t="s">
        <v>4</v>
      </c>
      <c r="E27" s="122">
        <v>255100</v>
      </c>
      <c r="F27" s="61"/>
      <c r="G27" s="122">
        <v>99000</v>
      </c>
      <c r="H27" s="61"/>
      <c r="I27" s="133"/>
      <c r="J27" s="133"/>
      <c r="K27" s="133">
        <f>I27</f>
        <v>0</v>
      </c>
      <c r="L27" s="133"/>
      <c r="M27" s="131" t="s">
        <v>161</v>
      </c>
    </row>
    <row r="28" spans="1:18" s="9" customFormat="1" ht="75" customHeight="1">
      <c r="A28" s="69" t="s">
        <v>141</v>
      </c>
      <c r="B28" s="60"/>
      <c r="C28" s="60"/>
      <c r="D28" s="61"/>
      <c r="E28" s="61"/>
      <c r="F28" s="61"/>
      <c r="G28" s="117"/>
      <c r="H28" s="61"/>
      <c r="I28" s="133"/>
      <c r="J28" s="133"/>
      <c r="K28" s="133"/>
      <c r="L28" s="133"/>
      <c r="M28" s="74" t="s">
        <v>144</v>
      </c>
    </row>
    <row r="29" spans="1:18" s="9" customFormat="1" ht="61.5" customHeight="1">
      <c r="A29" s="69" t="s">
        <v>75</v>
      </c>
      <c r="B29" s="60"/>
      <c r="C29" s="60"/>
      <c r="D29" s="61"/>
      <c r="E29" s="61"/>
      <c r="F29" s="61"/>
      <c r="G29" s="117"/>
      <c r="H29" s="61"/>
      <c r="I29" s="133"/>
      <c r="J29" s="133"/>
      <c r="K29" s="133"/>
      <c r="L29" s="133"/>
      <c r="M29" s="74" t="s">
        <v>147</v>
      </c>
    </row>
    <row r="30" spans="1:18" s="3" customFormat="1" ht="28.15" customHeight="1">
      <c r="A30" s="196" t="s">
        <v>13</v>
      </c>
      <c r="B30" s="174">
        <v>40990</v>
      </c>
      <c r="C30" s="174">
        <v>43646</v>
      </c>
      <c r="D30" s="66" t="s">
        <v>0</v>
      </c>
      <c r="E30" s="66">
        <v>25800</v>
      </c>
      <c r="F30" s="160"/>
      <c r="G30" s="160">
        <v>0</v>
      </c>
      <c r="H30" s="161"/>
      <c r="I30" s="161"/>
      <c r="J30" s="165"/>
      <c r="K30" s="161">
        <f>127772.76574+I30</f>
        <v>127772.76574</v>
      </c>
      <c r="L30" s="161"/>
      <c r="M30" s="156" t="s">
        <v>145</v>
      </c>
      <c r="N30" s="1"/>
      <c r="O30" s="1"/>
      <c r="P30" s="1"/>
      <c r="Q30" s="1"/>
      <c r="R30" s="1"/>
    </row>
    <row r="31" spans="1:18" s="3" customFormat="1" ht="27" customHeight="1">
      <c r="A31" s="196"/>
      <c r="B31" s="174"/>
      <c r="C31" s="174"/>
      <c r="D31" s="66" t="s">
        <v>1</v>
      </c>
      <c r="E31" s="66">
        <v>30000</v>
      </c>
      <c r="F31" s="160"/>
      <c r="G31" s="160"/>
      <c r="H31" s="161"/>
      <c r="I31" s="161"/>
      <c r="J31" s="165"/>
      <c r="K31" s="161"/>
      <c r="L31" s="161"/>
      <c r="M31" s="156"/>
      <c r="N31" s="1"/>
      <c r="O31" s="1"/>
      <c r="P31" s="1"/>
      <c r="Q31" s="1"/>
      <c r="R31" s="1"/>
    </row>
    <row r="32" spans="1:18" s="3" customFormat="1" ht="75.75" customHeight="1">
      <c r="A32" s="56" t="s">
        <v>62</v>
      </c>
      <c r="B32" s="45">
        <v>41829</v>
      </c>
      <c r="C32" s="45">
        <v>44012</v>
      </c>
      <c r="D32" s="66" t="s">
        <v>1</v>
      </c>
      <c r="E32" s="66">
        <v>75000</v>
      </c>
      <c r="F32" s="26"/>
      <c r="G32" s="122">
        <v>11200</v>
      </c>
      <c r="H32" s="123"/>
      <c r="I32" s="133">
        <v>88.213530000000006</v>
      </c>
      <c r="J32" s="133"/>
      <c r="K32" s="133">
        <f>152232.98933+I32</f>
        <v>152321.20286000002</v>
      </c>
      <c r="L32" s="133"/>
      <c r="M32" s="74" t="s">
        <v>162</v>
      </c>
      <c r="N32" s="1"/>
      <c r="O32" s="1"/>
      <c r="P32" s="1"/>
      <c r="Q32" s="1"/>
      <c r="R32" s="1"/>
    </row>
    <row r="33" spans="1:18" s="3" customFormat="1" ht="112.5" customHeight="1">
      <c r="A33" s="56" t="s">
        <v>47</v>
      </c>
      <c r="B33" s="45">
        <v>42457</v>
      </c>
      <c r="C33" s="45">
        <v>44561</v>
      </c>
      <c r="D33" s="66" t="s">
        <v>1</v>
      </c>
      <c r="E33" s="66">
        <v>40000</v>
      </c>
      <c r="F33" s="26"/>
      <c r="G33" s="122">
        <v>30000</v>
      </c>
      <c r="H33" s="123"/>
      <c r="I33" s="133"/>
      <c r="J33" s="133"/>
      <c r="K33" s="133">
        <f>41363.34064+I33</f>
        <v>41363.340640000002</v>
      </c>
      <c r="L33" s="133"/>
      <c r="M33" s="74" t="s">
        <v>148</v>
      </c>
      <c r="N33" s="1"/>
      <c r="O33" s="1"/>
      <c r="P33" s="1"/>
      <c r="Q33" s="1"/>
      <c r="R33" s="1"/>
    </row>
    <row r="34" spans="1:18" s="3" customFormat="1" ht="62.25" customHeight="1">
      <c r="A34" s="69" t="s">
        <v>74</v>
      </c>
      <c r="B34" s="45" t="s">
        <v>70</v>
      </c>
      <c r="C34" s="45" t="s">
        <v>121</v>
      </c>
      <c r="D34" s="66" t="s">
        <v>1</v>
      </c>
      <c r="E34" s="66">
        <v>80000</v>
      </c>
      <c r="F34" s="64"/>
      <c r="G34" s="122">
        <v>24400</v>
      </c>
      <c r="H34" s="123"/>
      <c r="I34" s="133">
        <v>227.18127999999999</v>
      </c>
      <c r="J34" s="133"/>
      <c r="K34" s="133">
        <f>34245.64722+I34</f>
        <v>34472.828499999996</v>
      </c>
      <c r="L34" s="133"/>
      <c r="M34" s="74" t="s">
        <v>140</v>
      </c>
      <c r="N34" s="84"/>
      <c r="O34" s="1"/>
      <c r="P34" s="1"/>
      <c r="Q34" s="1"/>
      <c r="R34" s="1"/>
    </row>
    <row r="35" spans="1:18" s="3" customFormat="1" ht="55.5" customHeight="1">
      <c r="A35" s="53" t="s">
        <v>43</v>
      </c>
      <c r="B35" s="14">
        <v>42752</v>
      </c>
      <c r="C35" s="14">
        <v>44196</v>
      </c>
      <c r="D35" s="26" t="s">
        <v>42</v>
      </c>
      <c r="E35" s="26">
        <v>8000</v>
      </c>
      <c r="F35" s="26"/>
      <c r="G35" s="122">
        <v>11250</v>
      </c>
      <c r="H35" s="123"/>
      <c r="I35" s="133">
        <v>90.090540000000004</v>
      </c>
      <c r="J35" s="133"/>
      <c r="K35" s="133">
        <f>2066.76764+I35</f>
        <v>2156.8581800000002</v>
      </c>
      <c r="L35" s="133"/>
      <c r="M35" s="74" t="s">
        <v>163</v>
      </c>
      <c r="N35" s="1"/>
      <c r="O35" s="1"/>
      <c r="P35" s="1"/>
      <c r="Q35" s="1"/>
      <c r="R35" s="1"/>
    </row>
    <row r="36" spans="1:18" s="3" customFormat="1" ht="63" customHeight="1" thickBot="1">
      <c r="A36" s="107" t="s">
        <v>44</v>
      </c>
      <c r="B36" s="108">
        <v>42734</v>
      </c>
      <c r="C36" s="108">
        <v>43830</v>
      </c>
      <c r="D36" s="109" t="s">
        <v>4</v>
      </c>
      <c r="E36" s="109">
        <v>6000</v>
      </c>
      <c r="F36" s="109"/>
      <c r="G36" s="31">
        <v>4000</v>
      </c>
      <c r="H36" s="63"/>
      <c r="I36" s="63"/>
      <c r="J36" s="63"/>
      <c r="K36" s="63">
        <f>1285.37185+I36</f>
        <v>1285.37185</v>
      </c>
      <c r="L36" s="63"/>
      <c r="M36" s="110" t="s">
        <v>135</v>
      </c>
      <c r="N36" s="1"/>
      <c r="O36" s="1"/>
      <c r="P36" s="1"/>
      <c r="Q36" s="1"/>
      <c r="R36" s="1"/>
    </row>
    <row r="37" spans="1:18" s="7" customFormat="1" ht="30" customHeight="1" thickBot="1">
      <c r="A37" s="162" t="s">
        <v>7</v>
      </c>
      <c r="B37" s="163"/>
      <c r="C37" s="163"/>
      <c r="D37" s="163"/>
      <c r="E37" s="163"/>
      <c r="F37" s="164"/>
      <c r="G37" s="35">
        <f t="shared" ref="G37:L37" si="1">SUM(G38:G55)</f>
        <v>178420</v>
      </c>
      <c r="H37" s="35">
        <f t="shared" si="1"/>
        <v>6000</v>
      </c>
      <c r="I37" s="35">
        <f t="shared" si="1"/>
        <v>11735.01441</v>
      </c>
      <c r="J37" s="35">
        <f t="shared" si="1"/>
        <v>2.0592000000000001</v>
      </c>
      <c r="K37" s="35">
        <f t="shared" si="1"/>
        <v>820176.71407999995</v>
      </c>
      <c r="L37" s="35">
        <f t="shared" si="1"/>
        <v>15268.879799999999</v>
      </c>
      <c r="M37" s="81"/>
    </row>
    <row r="38" spans="1:18" ht="62.25" customHeight="1">
      <c r="A38" s="52" t="s">
        <v>21</v>
      </c>
      <c r="B38" s="54">
        <v>41869</v>
      </c>
      <c r="C38" s="54">
        <v>44316</v>
      </c>
      <c r="D38" s="51" t="s">
        <v>1</v>
      </c>
      <c r="E38" s="51">
        <v>30000</v>
      </c>
      <c r="F38" s="51">
        <v>5000</v>
      </c>
      <c r="G38" s="32">
        <v>8400</v>
      </c>
      <c r="H38" s="62">
        <v>3800</v>
      </c>
      <c r="I38" s="62">
        <v>81.627899999999997</v>
      </c>
      <c r="J38" s="134">
        <v>2.0592000000000001</v>
      </c>
      <c r="K38" s="62">
        <f>52585.31347+I38</f>
        <v>52666.94137</v>
      </c>
      <c r="L38" s="62">
        <f>8136.79195+J38</f>
        <v>8138.8511499999995</v>
      </c>
      <c r="M38" s="79" t="s">
        <v>84</v>
      </c>
    </row>
    <row r="39" spans="1:18" ht="52.9" customHeight="1">
      <c r="A39" s="53" t="s">
        <v>14</v>
      </c>
      <c r="B39" s="48">
        <v>40227</v>
      </c>
      <c r="C39" s="28">
        <v>44196</v>
      </c>
      <c r="D39" s="49" t="s">
        <v>4</v>
      </c>
      <c r="E39" s="49">
        <v>3000</v>
      </c>
      <c r="F39" s="49"/>
      <c r="G39" s="129">
        <v>2000</v>
      </c>
      <c r="H39" s="130"/>
      <c r="I39" s="134"/>
      <c r="J39" s="134"/>
      <c r="K39" s="134">
        <f>2401.7848+I39</f>
        <v>2401.7847999999999</v>
      </c>
      <c r="L39" s="134"/>
      <c r="M39" s="74" t="s">
        <v>85</v>
      </c>
    </row>
    <row r="40" spans="1:18" ht="73.900000000000006" customHeight="1">
      <c r="A40" s="53" t="s">
        <v>37</v>
      </c>
      <c r="B40" s="48">
        <v>41621</v>
      </c>
      <c r="C40" s="48">
        <v>44926</v>
      </c>
      <c r="D40" s="49" t="s">
        <v>4</v>
      </c>
      <c r="E40" s="49">
        <v>20000</v>
      </c>
      <c r="F40" s="49">
        <v>2000</v>
      </c>
      <c r="G40" s="129">
        <v>400</v>
      </c>
      <c r="H40" s="130">
        <v>600</v>
      </c>
      <c r="I40" s="134"/>
      <c r="J40" s="134"/>
      <c r="K40" s="138">
        <f>7439.85874+I40</f>
        <v>7439.8587399999997</v>
      </c>
      <c r="L40" s="134">
        <f>6355.42307+J40</f>
        <v>6355.4230699999998</v>
      </c>
      <c r="M40" s="74" t="s">
        <v>122</v>
      </c>
    </row>
    <row r="41" spans="1:18" ht="59.45" customHeight="1">
      <c r="A41" s="220" t="s">
        <v>63</v>
      </c>
      <c r="B41" s="159">
        <v>40350</v>
      </c>
      <c r="C41" s="159">
        <v>44030</v>
      </c>
      <c r="D41" s="49" t="s">
        <v>0</v>
      </c>
      <c r="E41" s="49">
        <f>57986+10639</f>
        <v>68625</v>
      </c>
      <c r="F41" s="160"/>
      <c r="G41" s="193">
        <v>22800</v>
      </c>
      <c r="H41" s="192"/>
      <c r="I41" s="192">
        <v>6363.5844999999999</v>
      </c>
      <c r="J41" s="192"/>
      <c r="K41" s="218">
        <f>408545.01518+I41</f>
        <v>414908.59967999998</v>
      </c>
      <c r="L41" s="192"/>
      <c r="M41" s="156" t="s">
        <v>123</v>
      </c>
    </row>
    <row r="42" spans="1:18" ht="104.25" customHeight="1">
      <c r="A42" s="220"/>
      <c r="B42" s="159"/>
      <c r="C42" s="159"/>
      <c r="D42" s="49" t="s">
        <v>1</v>
      </c>
      <c r="E42" s="49">
        <f>48886+73000+20000</f>
        <v>141886</v>
      </c>
      <c r="F42" s="160"/>
      <c r="G42" s="194"/>
      <c r="H42" s="192"/>
      <c r="I42" s="192"/>
      <c r="J42" s="192"/>
      <c r="K42" s="219"/>
      <c r="L42" s="192"/>
      <c r="M42" s="156"/>
    </row>
    <row r="43" spans="1:18" ht="51" customHeight="1">
      <c r="A43" s="220" t="s">
        <v>15</v>
      </c>
      <c r="B43" s="159">
        <v>41222</v>
      </c>
      <c r="C43" s="159">
        <v>43830</v>
      </c>
      <c r="D43" s="49" t="s">
        <v>0</v>
      </c>
      <c r="E43" s="49">
        <v>19800</v>
      </c>
      <c r="F43" s="49"/>
      <c r="G43" s="221">
        <v>0</v>
      </c>
      <c r="H43" s="192"/>
      <c r="I43" s="192"/>
      <c r="J43" s="192"/>
      <c r="K43" s="192">
        <f>79274.14018+I43</f>
        <v>79274.140180000002</v>
      </c>
      <c r="L43" s="192"/>
      <c r="M43" s="156" t="s">
        <v>100</v>
      </c>
    </row>
    <row r="44" spans="1:18" ht="34.9" customHeight="1">
      <c r="A44" s="220"/>
      <c r="B44" s="159"/>
      <c r="C44" s="159"/>
      <c r="D44" s="49" t="s">
        <v>1</v>
      </c>
      <c r="E44" s="49">
        <v>9000</v>
      </c>
      <c r="F44" s="49"/>
      <c r="G44" s="221"/>
      <c r="H44" s="192"/>
      <c r="I44" s="192"/>
      <c r="J44" s="192"/>
      <c r="K44" s="192"/>
      <c r="L44" s="192"/>
      <c r="M44" s="156"/>
    </row>
    <row r="45" spans="1:18" ht="60" customHeight="1">
      <c r="A45" s="55" t="s">
        <v>32</v>
      </c>
      <c r="B45" s="48">
        <v>42223</v>
      </c>
      <c r="C45" s="48">
        <v>44926</v>
      </c>
      <c r="D45" s="49" t="s">
        <v>1</v>
      </c>
      <c r="E45" s="49">
        <v>60000</v>
      </c>
      <c r="F45" s="49"/>
      <c r="G45" s="129">
        <v>20000</v>
      </c>
      <c r="H45" s="130"/>
      <c r="I45" s="134">
        <v>942.52823999999998</v>
      </c>
      <c r="J45" s="134"/>
      <c r="K45" s="134">
        <f>46080.0495+I45</f>
        <v>47022.577740000001</v>
      </c>
      <c r="L45" s="134"/>
      <c r="M45" s="74" t="s">
        <v>86</v>
      </c>
    </row>
    <row r="46" spans="1:18" ht="56.25" customHeight="1">
      <c r="A46" s="53" t="s">
        <v>33</v>
      </c>
      <c r="B46" s="48">
        <v>42136</v>
      </c>
      <c r="C46" s="48">
        <v>43963</v>
      </c>
      <c r="D46" s="49" t="s">
        <v>4</v>
      </c>
      <c r="E46" s="49">
        <v>4300</v>
      </c>
      <c r="F46" s="49">
        <v>1843</v>
      </c>
      <c r="G46" s="129">
        <v>420</v>
      </c>
      <c r="H46" s="130">
        <v>300</v>
      </c>
      <c r="I46" s="130"/>
      <c r="J46" s="130"/>
      <c r="K46" s="130">
        <f>967.42234+I46</f>
        <v>967.42233999999996</v>
      </c>
      <c r="L46" s="130"/>
      <c r="M46" s="74" t="s">
        <v>87</v>
      </c>
    </row>
    <row r="47" spans="1:18" s="3" customFormat="1" ht="57.75" customHeight="1">
      <c r="A47" s="99" t="s">
        <v>112</v>
      </c>
      <c r="B47" s="102">
        <v>43285</v>
      </c>
      <c r="C47" s="103">
        <v>44016</v>
      </c>
      <c r="D47" s="98" t="s">
        <v>4</v>
      </c>
      <c r="E47" s="98">
        <v>2830</v>
      </c>
      <c r="F47" s="98">
        <v>1870</v>
      </c>
      <c r="G47" s="130">
        <v>5000</v>
      </c>
      <c r="H47" s="130">
        <v>1000</v>
      </c>
      <c r="I47" s="130"/>
      <c r="J47" s="130"/>
      <c r="K47" s="130">
        <f>I47</f>
        <v>0</v>
      </c>
      <c r="L47" s="130">
        <f>J47</f>
        <v>0</v>
      </c>
      <c r="M47" s="74" t="s">
        <v>136</v>
      </c>
      <c r="N47" s="1"/>
      <c r="O47" s="1"/>
      <c r="P47" s="1"/>
      <c r="Q47" s="1"/>
      <c r="R47" s="1"/>
    </row>
    <row r="48" spans="1:18" s="3" customFormat="1" ht="64.5" customHeight="1">
      <c r="A48" s="53" t="s">
        <v>40</v>
      </c>
      <c r="B48" s="48">
        <v>42411</v>
      </c>
      <c r="C48" s="48">
        <v>43830</v>
      </c>
      <c r="D48" s="49" t="s">
        <v>4</v>
      </c>
      <c r="E48" s="49">
        <v>100000</v>
      </c>
      <c r="F48" s="49"/>
      <c r="G48" s="129">
        <v>49000</v>
      </c>
      <c r="H48" s="130"/>
      <c r="I48" s="130">
        <v>4347.2737699999998</v>
      </c>
      <c r="J48" s="130"/>
      <c r="K48" s="130">
        <v>183834.86476</v>
      </c>
      <c r="L48" s="130"/>
      <c r="M48" s="74" t="s">
        <v>88</v>
      </c>
      <c r="N48" s="1"/>
      <c r="O48" s="1"/>
      <c r="P48" s="1"/>
      <c r="Q48" s="1"/>
      <c r="R48" s="1"/>
    </row>
    <row r="49" spans="1:18" s="3" customFormat="1" ht="74.25" customHeight="1">
      <c r="A49" s="97" t="s">
        <v>58</v>
      </c>
      <c r="B49" s="96">
        <v>42713</v>
      </c>
      <c r="C49" s="96">
        <v>44561</v>
      </c>
      <c r="D49" s="94" t="s">
        <v>4</v>
      </c>
      <c r="E49" s="94">
        <v>100000</v>
      </c>
      <c r="F49" s="94"/>
      <c r="G49" s="129">
        <v>0</v>
      </c>
      <c r="H49" s="130"/>
      <c r="I49" s="130"/>
      <c r="J49" s="130"/>
      <c r="K49" s="130">
        <f>I49</f>
        <v>0</v>
      </c>
      <c r="L49" s="130"/>
      <c r="M49" s="101" t="s">
        <v>124</v>
      </c>
      <c r="N49" s="1"/>
      <c r="O49" s="1"/>
      <c r="P49" s="1"/>
      <c r="Q49" s="1"/>
      <c r="R49" s="1"/>
    </row>
    <row r="50" spans="1:18" s="3" customFormat="1" ht="75.75" customHeight="1">
      <c r="A50" s="230" t="s">
        <v>164</v>
      </c>
      <c r="B50" s="102">
        <v>43805</v>
      </c>
      <c r="C50" s="102">
        <v>44926</v>
      </c>
      <c r="D50" s="129" t="s">
        <v>4</v>
      </c>
      <c r="E50" s="129">
        <v>13550</v>
      </c>
      <c r="F50" s="129"/>
      <c r="G50" s="129">
        <v>8000</v>
      </c>
      <c r="H50" s="130"/>
      <c r="I50" s="130"/>
      <c r="J50" s="130"/>
      <c r="K50" s="130">
        <f t="shared" ref="K50:K52" si="2">I50</f>
        <v>0</v>
      </c>
      <c r="L50" s="130"/>
      <c r="M50" s="116" t="s">
        <v>169</v>
      </c>
      <c r="N50" s="1"/>
      <c r="O50" s="1"/>
      <c r="P50" s="1"/>
      <c r="Q50" s="1"/>
      <c r="R50" s="1"/>
    </row>
    <row r="51" spans="1:18" s="3" customFormat="1" ht="62.25" customHeight="1">
      <c r="A51" s="230" t="s">
        <v>165</v>
      </c>
      <c r="B51" s="102">
        <v>43798</v>
      </c>
      <c r="C51" s="102">
        <v>45280</v>
      </c>
      <c r="D51" s="129" t="s">
        <v>4</v>
      </c>
      <c r="E51" s="129">
        <v>17000</v>
      </c>
      <c r="F51" s="129"/>
      <c r="G51" s="129">
        <v>15000</v>
      </c>
      <c r="H51" s="130"/>
      <c r="I51" s="130"/>
      <c r="J51" s="130"/>
      <c r="K51" s="130">
        <f t="shared" si="2"/>
        <v>0</v>
      </c>
      <c r="L51" s="130"/>
      <c r="M51" s="116" t="s">
        <v>167</v>
      </c>
      <c r="N51" s="1"/>
      <c r="O51" s="1"/>
      <c r="P51" s="1"/>
      <c r="Q51" s="1"/>
      <c r="R51" s="1"/>
    </row>
    <row r="52" spans="1:18" s="3" customFormat="1" ht="66.75" customHeight="1">
      <c r="A52" s="230" t="s">
        <v>166</v>
      </c>
      <c r="B52" s="102"/>
      <c r="C52" s="102"/>
      <c r="D52" s="129" t="s">
        <v>4</v>
      </c>
      <c r="E52" s="129"/>
      <c r="F52" s="129"/>
      <c r="G52" s="129">
        <v>10000</v>
      </c>
      <c r="H52" s="130"/>
      <c r="I52" s="130"/>
      <c r="J52" s="130"/>
      <c r="K52" s="130">
        <f t="shared" si="2"/>
        <v>0</v>
      </c>
      <c r="L52" s="130"/>
      <c r="M52" s="116" t="s">
        <v>168</v>
      </c>
      <c r="N52" s="1"/>
      <c r="O52" s="1"/>
      <c r="P52" s="1"/>
      <c r="Q52" s="1"/>
      <c r="R52" s="1"/>
    </row>
    <row r="53" spans="1:18" s="3" customFormat="1" ht="113.25" customHeight="1">
      <c r="A53" s="113" t="s">
        <v>128</v>
      </c>
      <c r="B53" s="112">
        <v>41884</v>
      </c>
      <c r="C53" s="112">
        <v>43830</v>
      </c>
      <c r="D53" s="111" t="s">
        <v>4</v>
      </c>
      <c r="E53" s="111">
        <v>13200</v>
      </c>
      <c r="F53" s="111"/>
      <c r="G53" s="129"/>
      <c r="H53" s="129"/>
      <c r="I53" s="130"/>
      <c r="J53" s="139"/>
      <c r="K53" s="130">
        <f>30687.92141+I53</f>
        <v>30687.921409999999</v>
      </c>
      <c r="L53" s="130"/>
      <c r="M53" s="116" t="s">
        <v>129</v>
      </c>
      <c r="N53" s="1"/>
      <c r="O53" s="1"/>
      <c r="P53" s="1"/>
      <c r="Q53" s="1"/>
      <c r="R53" s="1"/>
    </row>
    <row r="54" spans="1:18" s="3" customFormat="1" ht="66" customHeight="1">
      <c r="A54" s="97" t="s">
        <v>113</v>
      </c>
      <c r="B54" s="102">
        <v>43035</v>
      </c>
      <c r="C54" s="102">
        <v>44925</v>
      </c>
      <c r="D54" s="98" t="s">
        <v>4</v>
      </c>
      <c r="E54" s="98">
        <v>30000</v>
      </c>
      <c r="F54" s="98">
        <v>2000</v>
      </c>
      <c r="G54" s="129">
        <v>400</v>
      </c>
      <c r="H54" s="130">
        <v>300</v>
      </c>
      <c r="I54" s="130"/>
      <c r="J54" s="130"/>
      <c r="K54" s="130">
        <f>477.03306+I54</f>
        <v>477.03305999999998</v>
      </c>
      <c r="L54" s="130">
        <f>774.60558+J54</f>
        <v>774.60558000000003</v>
      </c>
      <c r="M54" s="101" t="s">
        <v>130</v>
      </c>
      <c r="N54" s="1"/>
      <c r="O54" s="1"/>
      <c r="P54" s="1"/>
      <c r="Q54" s="1"/>
      <c r="R54" s="1"/>
    </row>
    <row r="55" spans="1:18" s="3" customFormat="1" ht="79.5" customHeight="1" thickBot="1">
      <c r="A55" s="97" t="s">
        <v>114</v>
      </c>
      <c r="B55" s="104">
        <v>27.112017999999999</v>
      </c>
      <c r="C55" s="104">
        <v>27.112020999999999</v>
      </c>
      <c r="D55" s="58" t="s">
        <v>4</v>
      </c>
      <c r="E55" s="58">
        <v>15000</v>
      </c>
      <c r="F55" s="58"/>
      <c r="G55" s="58">
        <v>37000</v>
      </c>
      <c r="H55" s="65"/>
      <c r="I55" s="65"/>
      <c r="J55" s="65"/>
      <c r="K55" s="130">
        <f>495.57+I55</f>
        <v>495.57</v>
      </c>
      <c r="L55" s="65"/>
      <c r="M55" s="101" t="s">
        <v>127</v>
      </c>
      <c r="N55" s="1"/>
      <c r="O55" s="1"/>
      <c r="P55" s="1"/>
      <c r="Q55" s="1"/>
      <c r="R55" s="1"/>
    </row>
    <row r="56" spans="1:18" s="7" customFormat="1" ht="23.25" customHeight="1" thickBot="1">
      <c r="A56" s="215" t="s">
        <v>8</v>
      </c>
      <c r="B56" s="216"/>
      <c r="C56" s="216"/>
      <c r="D56" s="216"/>
      <c r="E56" s="216"/>
      <c r="F56" s="217"/>
      <c r="G56" s="33">
        <f>SUM(G57:G64)</f>
        <v>154800</v>
      </c>
      <c r="H56" s="33">
        <f t="shared" ref="H56:L56" si="3">SUM(H57:H64)</f>
        <v>15250</v>
      </c>
      <c r="I56" s="33">
        <f>SUM(I57:I64)</f>
        <v>4760.2816300000004</v>
      </c>
      <c r="J56" s="33">
        <f t="shared" si="3"/>
        <v>411.07107999999999</v>
      </c>
      <c r="K56" s="33">
        <f t="shared" si="3"/>
        <v>908451.62635399995</v>
      </c>
      <c r="L56" s="33">
        <f t="shared" si="3"/>
        <v>114750.86273000001</v>
      </c>
      <c r="M56" s="80"/>
    </row>
    <row r="57" spans="1:18" ht="41.45" customHeight="1">
      <c r="A57" s="52" t="s">
        <v>59</v>
      </c>
      <c r="B57" s="54">
        <v>39626</v>
      </c>
      <c r="C57" s="54">
        <v>43373</v>
      </c>
      <c r="D57" s="51" t="s">
        <v>4</v>
      </c>
      <c r="E57" s="51">
        <v>3700</v>
      </c>
      <c r="F57" s="51">
        <v>1814</v>
      </c>
      <c r="G57" s="125">
        <v>300</v>
      </c>
      <c r="H57" s="127"/>
      <c r="I57" s="127"/>
      <c r="J57" s="136"/>
      <c r="K57" s="127">
        <f>9620.780944+I57</f>
        <v>9620.7809440000001</v>
      </c>
      <c r="L57" s="127">
        <f>3649.68102+J57</f>
        <v>3649.68102</v>
      </c>
      <c r="M57" s="79" t="s">
        <v>89</v>
      </c>
    </row>
    <row r="58" spans="1:18" ht="172.15" customHeight="1">
      <c r="A58" s="158" t="s">
        <v>49</v>
      </c>
      <c r="B58" s="159">
        <v>40673</v>
      </c>
      <c r="C58" s="159">
        <v>44284</v>
      </c>
      <c r="D58" s="49" t="s">
        <v>0</v>
      </c>
      <c r="E58" s="49">
        <f>51343+25047+64205+23005</f>
        <v>163600</v>
      </c>
      <c r="F58" s="160"/>
      <c r="G58" s="160">
        <v>129000</v>
      </c>
      <c r="H58" s="161"/>
      <c r="I58" s="161">
        <v>4760.2816300000004</v>
      </c>
      <c r="J58" s="165"/>
      <c r="K58" s="161">
        <v>687149.50722999999</v>
      </c>
      <c r="L58" s="161"/>
      <c r="M58" s="156" t="s">
        <v>149</v>
      </c>
    </row>
    <row r="59" spans="1:18" ht="229.9" customHeight="1">
      <c r="A59" s="158"/>
      <c r="B59" s="159"/>
      <c r="C59" s="159"/>
      <c r="D59" s="49" t="s">
        <v>1</v>
      </c>
      <c r="E59" s="49">
        <f>108000+43000+99000</f>
        <v>250000</v>
      </c>
      <c r="F59" s="160"/>
      <c r="G59" s="160"/>
      <c r="H59" s="161"/>
      <c r="I59" s="161"/>
      <c r="J59" s="165"/>
      <c r="K59" s="161"/>
      <c r="L59" s="161"/>
      <c r="M59" s="156"/>
    </row>
    <row r="60" spans="1:18" ht="84.75" customHeight="1">
      <c r="A60" s="72" t="s">
        <v>72</v>
      </c>
      <c r="B60" s="71" t="s">
        <v>71</v>
      </c>
      <c r="C60" s="71">
        <v>44119</v>
      </c>
      <c r="D60" s="68" t="s">
        <v>4</v>
      </c>
      <c r="E60" s="70">
        <v>100</v>
      </c>
      <c r="F60" s="70"/>
      <c r="G60" s="122">
        <v>0</v>
      </c>
      <c r="H60" s="123">
        <v>800</v>
      </c>
      <c r="I60" s="123"/>
      <c r="J60" s="68"/>
      <c r="K60" s="123">
        <f>35.07802+I60</f>
        <v>35.078020000000002</v>
      </c>
      <c r="L60" s="123"/>
      <c r="M60" s="74" t="s">
        <v>125</v>
      </c>
    </row>
    <row r="61" spans="1:18" ht="143.25" customHeight="1">
      <c r="A61" s="53" t="s">
        <v>48</v>
      </c>
      <c r="B61" s="48">
        <v>40773</v>
      </c>
      <c r="C61" s="48">
        <v>44561</v>
      </c>
      <c r="D61" s="50" t="s">
        <v>4</v>
      </c>
      <c r="E61" s="50">
        <f>2988.339+4000+20000</f>
        <v>26988.339</v>
      </c>
      <c r="F61" s="50">
        <f>4500+6728.536+9000+4000+7000</f>
        <v>31228.536</v>
      </c>
      <c r="G61" s="122">
        <v>1500</v>
      </c>
      <c r="H61" s="123">
        <v>750</v>
      </c>
      <c r="I61" s="68"/>
      <c r="J61" s="68"/>
      <c r="K61" s="123">
        <f>66449.64+I61</f>
        <v>66449.64</v>
      </c>
      <c r="L61" s="68">
        <f>65489.76346+J61</f>
        <v>65489.763460000002</v>
      </c>
      <c r="M61" s="74" t="s">
        <v>90</v>
      </c>
    </row>
    <row r="62" spans="1:18" ht="59.25" customHeight="1">
      <c r="A62" s="53" t="s">
        <v>46</v>
      </c>
      <c r="B62" s="48">
        <v>42360</v>
      </c>
      <c r="C62" s="48">
        <v>44012</v>
      </c>
      <c r="D62" s="49" t="s">
        <v>4</v>
      </c>
      <c r="E62" s="49">
        <v>30000</v>
      </c>
      <c r="F62" s="49">
        <v>2000</v>
      </c>
      <c r="G62" s="122">
        <v>24000</v>
      </c>
      <c r="H62" s="123">
        <v>13300</v>
      </c>
      <c r="I62" s="123"/>
      <c r="J62" s="123"/>
      <c r="K62" s="123">
        <f>50830.52773+I62</f>
        <v>50830.527730000002</v>
      </c>
      <c r="L62" s="123">
        <f>4989.21524+J62</f>
        <v>4989.2152400000004</v>
      </c>
      <c r="M62" s="74" t="s">
        <v>91</v>
      </c>
    </row>
    <row r="63" spans="1:18" ht="60" customHeight="1">
      <c r="A63" s="53" t="s">
        <v>56</v>
      </c>
      <c r="B63" s="48">
        <v>41506</v>
      </c>
      <c r="C63" s="28">
        <v>43332</v>
      </c>
      <c r="D63" s="49" t="s">
        <v>4</v>
      </c>
      <c r="E63" s="49">
        <v>40000</v>
      </c>
      <c r="F63" s="49">
        <v>8000</v>
      </c>
      <c r="G63" s="122">
        <v>0</v>
      </c>
      <c r="H63" s="123">
        <v>0</v>
      </c>
      <c r="I63" s="123"/>
      <c r="J63" s="68"/>
      <c r="K63" s="123">
        <f>94366.09243+I63</f>
        <v>94366.092430000004</v>
      </c>
      <c r="L63" s="123">
        <f>19321.80063+J63</f>
        <v>19321.800630000002</v>
      </c>
      <c r="M63" s="74" t="s">
        <v>92</v>
      </c>
    </row>
    <row r="64" spans="1:18" ht="47.25" customHeight="1" thickBot="1">
      <c r="A64" s="29" t="s">
        <v>50</v>
      </c>
      <c r="B64" s="30">
        <v>41480</v>
      </c>
      <c r="C64" s="30">
        <v>43889</v>
      </c>
      <c r="D64" s="31" t="s">
        <v>1</v>
      </c>
      <c r="E64" s="31"/>
      <c r="F64" s="31">
        <v>10052.155000000001</v>
      </c>
      <c r="G64" s="31">
        <v>0</v>
      </c>
      <c r="H64" s="63">
        <v>400</v>
      </c>
      <c r="I64" s="63"/>
      <c r="J64" s="140">
        <v>411.07107999999999</v>
      </c>
      <c r="K64" s="63"/>
      <c r="L64" s="63">
        <v>21300.402380000003</v>
      </c>
      <c r="M64" s="78" t="s">
        <v>69</v>
      </c>
    </row>
    <row r="65" spans="1:13" s="7" customFormat="1" ht="30" customHeight="1" thickBot="1">
      <c r="A65" s="162" t="s">
        <v>24</v>
      </c>
      <c r="B65" s="163"/>
      <c r="C65" s="163"/>
      <c r="D65" s="163"/>
      <c r="E65" s="163"/>
      <c r="F65" s="164"/>
      <c r="G65" s="35">
        <f>SUM(G66:G77)</f>
        <v>44000</v>
      </c>
      <c r="H65" s="35">
        <f>SUM(H66:H77)</f>
        <v>7000</v>
      </c>
      <c r="I65" s="35">
        <f>SUM(I66:I77)</f>
        <v>0</v>
      </c>
      <c r="J65" s="35">
        <f>SUM(J66:J77)</f>
        <v>0</v>
      </c>
      <c r="K65" s="35">
        <f>SUM(K66:K77)</f>
        <v>291367.32053500001</v>
      </c>
      <c r="L65" s="35">
        <f>SUM(L66:L77)</f>
        <v>20950.680079999998</v>
      </c>
      <c r="M65" s="81"/>
    </row>
    <row r="66" spans="1:13" ht="95.25" customHeight="1">
      <c r="A66" s="82" t="s">
        <v>82</v>
      </c>
      <c r="B66" s="83">
        <v>43105</v>
      </c>
      <c r="C66" s="83" t="s">
        <v>83</v>
      </c>
      <c r="D66" s="73" t="s">
        <v>4</v>
      </c>
      <c r="E66" s="73">
        <v>28000</v>
      </c>
      <c r="F66" s="73">
        <v>7000</v>
      </c>
      <c r="G66" s="125">
        <v>10000</v>
      </c>
      <c r="H66" s="127">
        <v>5000</v>
      </c>
      <c r="I66" s="127"/>
      <c r="J66" s="127"/>
      <c r="K66" s="127">
        <f>19889.77292+I66</f>
        <v>19889.772919999999</v>
      </c>
      <c r="L66" s="127"/>
      <c r="M66" s="79" t="s">
        <v>103</v>
      </c>
    </row>
    <row r="67" spans="1:13" ht="48.75" customHeight="1">
      <c r="A67" s="55" t="s">
        <v>38</v>
      </c>
      <c r="B67" s="166">
        <v>41572</v>
      </c>
      <c r="C67" s="166">
        <v>43463</v>
      </c>
      <c r="D67" s="169" t="s">
        <v>4</v>
      </c>
      <c r="E67" s="169">
        <f>25200+35000</f>
        <v>60200</v>
      </c>
      <c r="F67" s="49">
        <v>8000</v>
      </c>
      <c r="G67" s="122">
        <v>5000</v>
      </c>
      <c r="H67" s="123"/>
      <c r="I67" s="123"/>
      <c r="J67" s="123"/>
      <c r="K67" s="123">
        <f>93155.934555+I67</f>
        <v>93155.934555</v>
      </c>
      <c r="L67" s="123">
        <f>20950.68008+J67</f>
        <v>20950.680079999998</v>
      </c>
      <c r="M67" s="156" t="s">
        <v>93</v>
      </c>
    </row>
    <row r="68" spans="1:13" ht="40.9" customHeight="1">
      <c r="A68" s="55" t="s">
        <v>57</v>
      </c>
      <c r="B68" s="167"/>
      <c r="C68" s="167"/>
      <c r="D68" s="170"/>
      <c r="E68" s="170"/>
      <c r="F68" s="49"/>
      <c r="G68" s="122"/>
      <c r="H68" s="123"/>
      <c r="I68" s="123"/>
      <c r="J68" s="123"/>
      <c r="K68" s="123">
        <f>53261.51993+I68</f>
        <v>53261.519930000002</v>
      </c>
      <c r="L68" s="123"/>
      <c r="M68" s="156"/>
    </row>
    <row r="69" spans="1:13" ht="59.25" customHeight="1">
      <c r="A69" s="53" t="s">
        <v>60</v>
      </c>
      <c r="B69" s="168"/>
      <c r="C69" s="168"/>
      <c r="D69" s="171"/>
      <c r="E69" s="171"/>
      <c r="F69" s="49"/>
      <c r="G69" s="122"/>
      <c r="H69" s="123"/>
      <c r="I69" s="123"/>
      <c r="J69" s="68"/>
      <c r="K69" s="123">
        <f>5120.67471+I69</f>
        <v>5120.6747100000002</v>
      </c>
      <c r="L69" s="123"/>
      <c r="M69" s="74" t="s">
        <v>94</v>
      </c>
    </row>
    <row r="70" spans="1:13" ht="87.75" customHeight="1">
      <c r="A70" s="53" t="s">
        <v>39</v>
      </c>
      <c r="B70" s="159">
        <v>41885</v>
      </c>
      <c r="C70" s="159">
        <v>44378</v>
      </c>
      <c r="D70" s="49" t="s">
        <v>1</v>
      </c>
      <c r="E70" s="160">
        <v>60000</v>
      </c>
      <c r="F70" s="49"/>
      <c r="G70" s="122">
        <v>8500</v>
      </c>
      <c r="H70" s="123"/>
      <c r="I70" s="123"/>
      <c r="J70" s="68"/>
      <c r="K70" s="123">
        <f>118003.72586+I70</f>
        <v>118003.72586000001</v>
      </c>
      <c r="L70" s="123"/>
      <c r="M70" s="74" t="s">
        <v>95</v>
      </c>
    </row>
    <row r="71" spans="1:13" ht="49.5" customHeight="1">
      <c r="A71" s="53" t="s">
        <v>61</v>
      </c>
      <c r="B71" s="159"/>
      <c r="C71" s="159"/>
      <c r="D71" s="49" t="s">
        <v>1</v>
      </c>
      <c r="E71" s="183"/>
      <c r="F71" s="49"/>
      <c r="G71" s="122"/>
      <c r="H71" s="123"/>
      <c r="I71" s="123"/>
      <c r="J71" s="68"/>
      <c r="K71" s="123">
        <f>1935.69256+I71</f>
        <v>1935.69256</v>
      </c>
      <c r="L71" s="123"/>
      <c r="M71" s="74" t="s">
        <v>96</v>
      </c>
    </row>
    <row r="72" spans="1:13" ht="153" customHeight="1">
      <c r="A72" s="88" t="s">
        <v>106</v>
      </c>
      <c r="B72" s="87"/>
      <c r="C72" s="87"/>
      <c r="D72" s="105" t="s">
        <v>4</v>
      </c>
      <c r="E72" s="94"/>
      <c r="F72" s="94"/>
      <c r="G72" s="122">
        <v>3500</v>
      </c>
      <c r="H72" s="123"/>
      <c r="I72" s="123"/>
      <c r="J72" s="68"/>
      <c r="K72" s="123">
        <f>I72</f>
        <v>0</v>
      </c>
      <c r="L72" s="123"/>
      <c r="M72" s="89" t="s">
        <v>107</v>
      </c>
    </row>
    <row r="73" spans="1:13" ht="78" customHeight="1">
      <c r="A73" s="88" t="s">
        <v>108</v>
      </c>
      <c r="B73" s="87"/>
      <c r="C73" s="87"/>
      <c r="D73" s="105" t="s">
        <v>1</v>
      </c>
      <c r="E73" s="94"/>
      <c r="F73" s="122"/>
      <c r="G73" s="122">
        <v>3500</v>
      </c>
      <c r="H73" s="123"/>
      <c r="I73" s="123"/>
      <c r="J73" s="68"/>
      <c r="K73" s="123">
        <f t="shared" ref="K73:K77" si="4">I73</f>
        <v>0</v>
      </c>
      <c r="L73" s="123"/>
      <c r="M73" s="89" t="s">
        <v>109</v>
      </c>
    </row>
    <row r="74" spans="1:13" ht="83.25" customHeight="1">
      <c r="A74" s="88" t="s">
        <v>105</v>
      </c>
      <c r="B74" s="166">
        <v>42838</v>
      </c>
      <c r="C74" s="166">
        <v>44742</v>
      </c>
      <c r="D74" s="169" t="s">
        <v>4</v>
      </c>
      <c r="E74" s="169">
        <v>125000</v>
      </c>
      <c r="F74" s="122">
        <v>9900</v>
      </c>
      <c r="G74" s="122">
        <v>4000</v>
      </c>
      <c r="H74" s="123">
        <v>2000</v>
      </c>
      <c r="I74" s="123"/>
      <c r="J74" s="68"/>
      <c r="K74" s="123">
        <f>I74</f>
        <v>0</v>
      </c>
      <c r="L74" s="123">
        <f>J74</f>
        <v>0</v>
      </c>
      <c r="M74" s="89" t="s">
        <v>115</v>
      </c>
    </row>
    <row r="75" spans="1:13" ht="110.25" customHeight="1">
      <c r="A75" s="88" t="s">
        <v>110</v>
      </c>
      <c r="B75" s="167"/>
      <c r="C75" s="167"/>
      <c r="D75" s="170"/>
      <c r="E75" s="170"/>
      <c r="F75" s="122"/>
      <c r="G75" s="122">
        <v>4000</v>
      </c>
      <c r="H75" s="123"/>
      <c r="I75" s="123"/>
      <c r="J75" s="68"/>
      <c r="K75" s="123">
        <f t="shared" si="4"/>
        <v>0</v>
      </c>
      <c r="L75" s="123"/>
      <c r="M75" s="89" t="s">
        <v>111</v>
      </c>
    </row>
    <row r="76" spans="1:13" ht="49.5" customHeight="1">
      <c r="A76" s="100" t="s">
        <v>118</v>
      </c>
      <c r="B76" s="168"/>
      <c r="C76" s="168"/>
      <c r="D76" s="171"/>
      <c r="E76" s="171"/>
      <c r="F76" s="122"/>
      <c r="G76" s="122">
        <v>2500</v>
      </c>
      <c r="H76" s="123"/>
      <c r="I76" s="123"/>
      <c r="J76" s="68"/>
      <c r="K76" s="123">
        <f>I76</f>
        <v>0</v>
      </c>
      <c r="L76" s="123"/>
      <c r="M76" s="101" t="s">
        <v>119</v>
      </c>
    </row>
    <row r="77" spans="1:13" ht="54" customHeight="1" thickBot="1">
      <c r="A77" s="100" t="s">
        <v>117</v>
      </c>
      <c r="B77" s="96"/>
      <c r="C77" s="28"/>
      <c r="D77" s="105" t="s">
        <v>4</v>
      </c>
      <c r="E77" s="94"/>
      <c r="F77" s="122"/>
      <c r="G77" s="122">
        <v>3000</v>
      </c>
      <c r="H77" s="123"/>
      <c r="I77" s="123"/>
      <c r="J77" s="68"/>
      <c r="K77" s="123">
        <f t="shared" si="4"/>
        <v>0</v>
      </c>
      <c r="L77" s="123"/>
      <c r="M77" s="101" t="s">
        <v>119</v>
      </c>
    </row>
    <row r="78" spans="1:13" ht="36.6" customHeight="1" thickBot="1">
      <c r="A78" s="234" t="s">
        <v>25</v>
      </c>
      <c r="B78" s="235"/>
      <c r="C78" s="235"/>
      <c r="D78" s="235"/>
      <c r="E78" s="235"/>
      <c r="F78" s="236"/>
      <c r="G78" s="33">
        <f>G79+G83+G84+G82</f>
        <v>41000</v>
      </c>
      <c r="H78" s="33">
        <f t="shared" ref="H78:L78" si="5">H79+H83+H84+H82</f>
        <v>4000</v>
      </c>
      <c r="I78" s="33">
        <f t="shared" si="5"/>
        <v>535.91713000000004</v>
      </c>
      <c r="J78" s="33">
        <f t="shared" si="5"/>
        <v>601.16408999999999</v>
      </c>
      <c r="K78" s="33">
        <f t="shared" si="5"/>
        <v>84267.593815999993</v>
      </c>
      <c r="L78" s="33">
        <f t="shared" si="5"/>
        <v>11065.06358</v>
      </c>
      <c r="M78" s="80"/>
    </row>
    <row r="79" spans="1:13" s="7" customFormat="1" ht="58.5" customHeight="1">
      <c r="A79" s="181" t="s">
        <v>18</v>
      </c>
      <c r="B79" s="36">
        <v>42052</v>
      </c>
      <c r="C79" s="37">
        <v>44121</v>
      </c>
      <c r="D79" s="51" t="s">
        <v>0</v>
      </c>
      <c r="E79" s="51">
        <v>8610</v>
      </c>
      <c r="F79" s="51"/>
      <c r="G79" s="182">
        <v>3400</v>
      </c>
      <c r="H79" s="177">
        <v>4000</v>
      </c>
      <c r="I79" s="177">
        <v>436.73759000000001</v>
      </c>
      <c r="J79" s="177">
        <v>601.16408999999999</v>
      </c>
      <c r="K79" s="177">
        <f>25190.21929+I79</f>
        <v>25626.956880000002</v>
      </c>
      <c r="L79" s="177">
        <f>10463.89949+J79</f>
        <v>11065.06358</v>
      </c>
      <c r="M79" s="178" t="s">
        <v>170</v>
      </c>
    </row>
    <row r="80" spans="1:13" ht="58.9" customHeight="1">
      <c r="A80" s="158"/>
      <c r="B80" s="28">
        <v>41978</v>
      </c>
      <c r="C80" s="38">
        <v>42735</v>
      </c>
      <c r="D80" s="49" t="s">
        <v>1</v>
      </c>
      <c r="E80" s="49"/>
      <c r="F80" s="49">
        <v>500</v>
      </c>
      <c r="G80" s="160"/>
      <c r="H80" s="161"/>
      <c r="I80" s="161"/>
      <c r="J80" s="161"/>
      <c r="K80" s="161"/>
      <c r="L80" s="161"/>
      <c r="M80" s="179"/>
    </row>
    <row r="81" spans="1:13" ht="94.5" customHeight="1">
      <c r="A81" s="158"/>
      <c r="B81" s="28">
        <v>42052</v>
      </c>
      <c r="C81" s="39">
        <v>43513</v>
      </c>
      <c r="D81" s="49" t="s">
        <v>1</v>
      </c>
      <c r="E81" s="49"/>
      <c r="F81" s="49">
        <v>5300</v>
      </c>
      <c r="G81" s="160"/>
      <c r="H81" s="161"/>
      <c r="I81" s="161"/>
      <c r="J81" s="161"/>
      <c r="K81" s="161"/>
      <c r="L81" s="161"/>
      <c r="M81" s="180"/>
    </row>
    <row r="82" spans="1:13" ht="84" customHeight="1">
      <c r="A82" s="120" t="s">
        <v>154</v>
      </c>
      <c r="B82" s="124">
        <v>43486</v>
      </c>
      <c r="C82" s="141">
        <v>46022</v>
      </c>
      <c r="D82" s="123" t="s">
        <v>4</v>
      </c>
      <c r="E82" s="123">
        <v>16000</v>
      </c>
      <c r="F82" s="122"/>
      <c r="G82" s="122">
        <v>3600</v>
      </c>
      <c r="H82" s="123"/>
      <c r="I82" s="133"/>
      <c r="J82" s="133"/>
      <c r="K82" s="133">
        <f>I82</f>
        <v>0</v>
      </c>
      <c r="L82" s="133"/>
      <c r="M82" s="126" t="s">
        <v>176</v>
      </c>
    </row>
    <row r="83" spans="1:13" ht="69" customHeight="1">
      <c r="A83" s="158" t="s">
        <v>17</v>
      </c>
      <c r="B83" s="159">
        <v>41964</v>
      </c>
      <c r="C83" s="159">
        <v>44408</v>
      </c>
      <c r="D83" s="213" t="s">
        <v>0</v>
      </c>
      <c r="E83" s="160">
        <v>32400</v>
      </c>
      <c r="F83" s="160"/>
      <c r="G83" s="122">
        <v>20000</v>
      </c>
      <c r="H83" s="122"/>
      <c r="I83" s="133">
        <v>86.156720000000007</v>
      </c>
      <c r="J83" s="135"/>
      <c r="K83" s="133">
        <f>52753.634536+I83</f>
        <v>52839.791255999997</v>
      </c>
      <c r="L83" s="133"/>
      <c r="M83" s="115" t="s">
        <v>97</v>
      </c>
    </row>
    <row r="84" spans="1:13" ht="79.5" customHeight="1">
      <c r="A84" s="158"/>
      <c r="B84" s="159"/>
      <c r="C84" s="159"/>
      <c r="D84" s="213"/>
      <c r="E84" s="160"/>
      <c r="F84" s="160"/>
      <c r="G84" s="122">
        <v>14000</v>
      </c>
      <c r="H84" s="122"/>
      <c r="I84" s="133">
        <v>13.022819999999999</v>
      </c>
      <c r="J84" s="135"/>
      <c r="K84" s="133">
        <f>5787.82286+I84</f>
        <v>5800.8456800000004</v>
      </c>
      <c r="L84" s="133"/>
      <c r="M84" s="114" t="s">
        <v>98</v>
      </c>
    </row>
    <row r="85" spans="1:13" ht="50.45" customHeight="1" thickBot="1">
      <c r="A85" s="237" t="s">
        <v>26</v>
      </c>
      <c r="B85" s="238"/>
      <c r="C85" s="238"/>
      <c r="D85" s="238"/>
      <c r="E85" s="238"/>
      <c r="F85" s="239"/>
      <c r="G85" s="35">
        <f t="shared" ref="G85:L85" si="6">SUM(G86:G87)</f>
        <v>0</v>
      </c>
      <c r="H85" s="35">
        <f t="shared" si="6"/>
        <v>4600</v>
      </c>
      <c r="I85" s="35">
        <f t="shared" si="6"/>
        <v>0</v>
      </c>
      <c r="J85" s="35">
        <f t="shared" si="6"/>
        <v>37.966099999999997</v>
      </c>
      <c r="K85" s="35">
        <f t="shared" si="6"/>
        <v>0</v>
      </c>
      <c r="L85" s="35">
        <f t="shared" si="6"/>
        <v>26310.4005</v>
      </c>
      <c r="M85" s="81"/>
    </row>
    <row r="86" spans="1:13" s="7" customFormat="1" ht="165.75" customHeight="1">
      <c r="A86" s="52" t="s">
        <v>22</v>
      </c>
      <c r="B86" s="36">
        <v>40119</v>
      </c>
      <c r="C86" s="54">
        <v>43465</v>
      </c>
      <c r="D86" s="51" t="s">
        <v>4</v>
      </c>
      <c r="E86" s="51"/>
      <c r="F86" s="59">
        <v>2267</v>
      </c>
      <c r="G86" s="125">
        <v>0</v>
      </c>
      <c r="H86" s="125">
        <v>2500</v>
      </c>
      <c r="I86" s="127"/>
      <c r="J86" s="136">
        <v>37.966099999999997</v>
      </c>
      <c r="K86" s="132"/>
      <c r="L86" s="132">
        <f>7453.02009+J86</f>
        <v>7490.9861899999996</v>
      </c>
      <c r="M86" s="79" t="s">
        <v>99</v>
      </c>
    </row>
    <row r="87" spans="1:13" ht="178.5" customHeight="1" thickBot="1">
      <c r="A87" s="29" t="s">
        <v>16</v>
      </c>
      <c r="B87" s="40">
        <v>40589</v>
      </c>
      <c r="C87" s="40">
        <v>43100</v>
      </c>
      <c r="D87" s="34" t="s">
        <v>4</v>
      </c>
      <c r="E87" s="31"/>
      <c r="F87" s="31">
        <v>8250</v>
      </c>
      <c r="G87" s="31">
        <v>0</v>
      </c>
      <c r="H87" s="31">
        <v>2100</v>
      </c>
      <c r="I87" s="63"/>
      <c r="J87" s="63"/>
      <c r="K87" s="63"/>
      <c r="L87" s="63">
        <f>18819.41431+J87</f>
        <v>18819.41431</v>
      </c>
      <c r="M87" s="78" t="s">
        <v>171</v>
      </c>
    </row>
    <row r="88" spans="1:13" ht="57" customHeight="1" thickBot="1">
      <c r="A88" s="234" t="s">
        <v>5</v>
      </c>
      <c r="B88" s="235"/>
      <c r="C88" s="235"/>
      <c r="D88" s="235"/>
      <c r="E88" s="235"/>
      <c r="F88" s="236"/>
      <c r="G88" s="33">
        <f t="shared" ref="G88:L88" si="7">SUM(G89:G96)</f>
        <v>171900</v>
      </c>
      <c r="H88" s="33">
        <f t="shared" si="7"/>
        <v>5050</v>
      </c>
      <c r="I88" s="33">
        <f t="shared" si="7"/>
        <v>439.61541999999997</v>
      </c>
      <c r="J88" s="33">
        <f t="shared" si="7"/>
        <v>0</v>
      </c>
      <c r="K88" s="33">
        <f t="shared" si="7"/>
        <v>239861.95057999998</v>
      </c>
      <c r="L88" s="33">
        <f t="shared" si="7"/>
        <v>0</v>
      </c>
      <c r="M88" s="80"/>
    </row>
    <row r="89" spans="1:13" s="7" customFormat="1" ht="47.25" customHeight="1">
      <c r="A89" s="82" t="s">
        <v>155</v>
      </c>
      <c r="B89" s="231">
        <v>43634</v>
      </c>
      <c r="C89" s="231">
        <v>46112</v>
      </c>
      <c r="D89" s="155" t="s">
        <v>4</v>
      </c>
      <c r="E89" s="152">
        <v>90000</v>
      </c>
      <c r="F89" s="154"/>
      <c r="G89" s="154">
        <v>5000</v>
      </c>
      <c r="H89" s="152"/>
      <c r="I89" s="152"/>
      <c r="J89" s="155"/>
      <c r="K89" s="152">
        <f>I89</f>
        <v>0</v>
      </c>
      <c r="L89" s="146"/>
      <c r="M89" s="128" t="s">
        <v>172</v>
      </c>
    </row>
    <row r="90" spans="1:13" ht="57" customHeight="1">
      <c r="A90" s="149" t="s">
        <v>156</v>
      </c>
      <c r="B90" s="232">
        <v>43630</v>
      </c>
      <c r="C90" s="232">
        <v>45000</v>
      </c>
      <c r="D90" s="151" t="s">
        <v>4</v>
      </c>
      <c r="E90" s="150">
        <v>20000</v>
      </c>
      <c r="F90" s="150"/>
      <c r="G90" s="150">
        <v>1300</v>
      </c>
      <c r="H90" s="150">
        <v>1900</v>
      </c>
      <c r="I90" s="150"/>
      <c r="J90" s="151"/>
      <c r="K90" s="153">
        <f t="shared" ref="K90:K91" si="8">I90</f>
        <v>0</v>
      </c>
      <c r="L90" s="147">
        <f>J90</f>
        <v>0</v>
      </c>
      <c r="M90" s="233" t="s">
        <v>173</v>
      </c>
    </row>
    <row r="91" spans="1:13" ht="66" customHeight="1">
      <c r="A91" s="149" t="s">
        <v>175</v>
      </c>
      <c r="B91" s="232"/>
      <c r="C91" s="232"/>
      <c r="D91" s="151"/>
      <c r="E91" s="150"/>
      <c r="F91" s="150"/>
      <c r="G91" s="150">
        <v>2000</v>
      </c>
      <c r="H91" s="150"/>
      <c r="I91" s="150"/>
      <c r="J91" s="151"/>
      <c r="K91" s="153">
        <f t="shared" si="8"/>
        <v>0</v>
      </c>
      <c r="L91" s="150"/>
      <c r="M91" s="148" t="s">
        <v>174</v>
      </c>
    </row>
    <row r="92" spans="1:13" ht="43.15" customHeight="1">
      <c r="A92" s="90" t="s">
        <v>51</v>
      </c>
      <c r="B92" s="48">
        <v>42661</v>
      </c>
      <c r="C92" s="48">
        <v>44377</v>
      </c>
      <c r="D92" s="49" t="s">
        <v>4</v>
      </c>
      <c r="E92" s="49">
        <v>14000</v>
      </c>
      <c r="F92" s="49"/>
      <c r="G92" s="142">
        <v>6100</v>
      </c>
      <c r="H92" s="143">
        <v>1500</v>
      </c>
      <c r="I92" s="142">
        <v>4.7478199999999999</v>
      </c>
      <c r="J92" s="142"/>
      <c r="K92" s="142">
        <f>I92</f>
        <v>4.7478199999999999</v>
      </c>
      <c r="L92" s="27">
        <v>0</v>
      </c>
      <c r="M92" s="74" t="s">
        <v>131</v>
      </c>
    </row>
    <row r="93" spans="1:13" ht="66" customHeight="1">
      <c r="A93" s="56" t="s">
        <v>41</v>
      </c>
      <c r="B93" s="45">
        <v>42346</v>
      </c>
      <c r="C93" s="45">
        <v>43228</v>
      </c>
      <c r="D93" s="46" t="s">
        <v>4</v>
      </c>
      <c r="E93" s="46">
        <v>82821</v>
      </c>
      <c r="F93" s="49"/>
      <c r="G93" s="142">
        <v>35000</v>
      </c>
      <c r="H93" s="143"/>
      <c r="I93" s="142"/>
      <c r="J93" s="142"/>
      <c r="K93" s="142">
        <f>226048.34892+I93</f>
        <v>226048.34891999999</v>
      </c>
      <c r="L93" s="142"/>
      <c r="M93" s="74" t="s">
        <v>66</v>
      </c>
    </row>
    <row r="94" spans="1:13" ht="72" customHeight="1">
      <c r="A94" s="57" t="s">
        <v>64</v>
      </c>
      <c r="B94" s="45">
        <v>42929</v>
      </c>
      <c r="C94" s="45">
        <v>43830</v>
      </c>
      <c r="D94" s="46" t="s">
        <v>4</v>
      </c>
      <c r="E94" s="46">
        <v>5500</v>
      </c>
      <c r="F94" s="49">
        <v>1500</v>
      </c>
      <c r="G94" s="142">
        <v>2500</v>
      </c>
      <c r="H94" s="143">
        <v>1650</v>
      </c>
      <c r="I94" s="142"/>
      <c r="J94" s="142"/>
      <c r="K94" s="142">
        <f>8749.28036+I94</f>
        <v>8749.2803600000007</v>
      </c>
      <c r="L94" s="27">
        <v>0</v>
      </c>
      <c r="M94" s="74" t="s">
        <v>126</v>
      </c>
    </row>
    <row r="95" spans="1:13" ht="54" customHeight="1">
      <c r="A95" s="57" t="s">
        <v>116</v>
      </c>
      <c r="B95" s="91"/>
      <c r="C95" s="91"/>
      <c r="D95" s="92"/>
      <c r="E95" s="92"/>
      <c r="F95" s="95"/>
      <c r="G95" s="142">
        <v>100000</v>
      </c>
      <c r="H95" s="145"/>
      <c r="I95" s="144"/>
      <c r="J95" s="144"/>
      <c r="K95" s="106"/>
      <c r="L95" s="106"/>
      <c r="M95" s="93" t="s">
        <v>119</v>
      </c>
    </row>
    <row r="96" spans="1:13" ht="93" customHeight="1" thickBot="1">
      <c r="A96" s="29" t="s">
        <v>34</v>
      </c>
      <c r="B96" s="40">
        <v>42457</v>
      </c>
      <c r="C96" s="40">
        <v>44316</v>
      </c>
      <c r="D96" s="34" t="s">
        <v>1</v>
      </c>
      <c r="E96" s="31">
        <v>23500</v>
      </c>
      <c r="F96" s="31"/>
      <c r="G96" s="31">
        <v>20000</v>
      </c>
      <c r="H96" s="63"/>
      <c r="I96" s="31">
        <v>434.86759999999998</v>
      </c>
      <c r="J96" s="31"/>
      <c r="K96" s="31">
        <f>4624.70588+I96</f>
        <v>5059.57348</v>
      </c>
      <c r="L96" s="31"/>
      <c r="M96" s="78" t="s">
        <v>134</v>
      </c>
    </row>
    <row r="97" spans="1:13" s="9" customFormat="1" ht="49.5" customHeight="1" thickBot="1">
      <c r="A97" s="41"/>
      <c r="B97" s="42"/>
      <c r="C97" s="42"/>
      <c r="D97" s="43"/>
      <c r="E97" s="44"/>
      <c r="F97" s="35" t="s">
        <v>27</v>
      </c>
      <c r="G97" s="35">
        <f>G88+G85+G78+G65+G56+G37+G7</f>
        <v>1182300</v>
      </c>
      <c r="H97" s="35">
        <f>H88+H85+H78+H65+H56+H37+H7</f>
        <v>46900</v>
      </c>
      <c r="I97" s="35">
        <f>I88+I85+I78+I65+I56+I37+I7</f>
        <v>22837.37905</v>
      </c>
      <c r="J97" s="35">
        <f>J88+J85+J78+J65+J56+J37+J7</f>
        <v>1054.4263999999998</v>
      </c>
      <c r="K97" s="35">
        <f>K88+K85+K78+K65+K56+K37+K7</f>
        <v>4953772.1168649998</v>
      </c>
      <c r="L97" s="35">
        <f>L88+L85+L78+L65+L56+L37+L7</f>
        <v>226795.11924000003</v>
      </c>
      <c r="M97" s="75"/>
    </row>
    <row r="98" spans="1:13" s="6" customFormat="1" ht="40.5" customHeight="1">
      <c r="A98" s="10"/>
      <c r="B98" s="8"/>
      <c r="C98" s="8"/>
      <c r="D98" s="10"/>
      <c r="E98" s="10"/>
      <c r="F98" s="10"/>
      <c r="G98" s="10"/>
      <c r="H98" s="10"/>
      <c r="I98" s="10"/>
      <c r="J98" s="10"/>
      <c r="K98" s="10"/>
      <c r="L98" s="10"/>
      <c r="M98" s="13"/>
    </row>
    <row r="99" spans="1:13" ht="26.25" customHeight="1">
      <c r="A99" s="214" t="s">
        <v>31</v>
      </c>
      <c r="B99" s="214"/>
      <c r="C99" s="214"/>
      <c r="D99" s="214"/>
      <c r="E99" s="214"/>
      <c r="F99" s="214"/>
      <c r="G99" s="214"/>
      <c r="H99" s="214"/>
      <c r="I99" s="214"/>
      <c r="J99" s="214"/>
      <c r="K99" s="214"/>
      <c r="L99" s="214"/>
    </row>
    <row r="100" spans="1:13" ht="24.75" customHeight="1">
      <c r="A100" s="1" t="s">
        <v>35</v>
      </c>
      <c r="B100" s="2"/>
      <c r="D100" s="1"/>
      <c r="E100" s="1"/>
      <c r="F100" s="1"/>
      <c r="H100" s="1"/>
      <c r="I100" s="1"/>
      <c r="J100" s="1"/>
      <c r="K100" s="1"/>
      <c r="L100" s="1"/>
    </row>
    <row r="101" spans="1:13" ht="24" customHeight="1">
      <c r="A101" s="1"/>
      <c r="B101" s="2"/>
      <c r="D101" s="1"/>
      <c r="E101" s="1"/>
      <c r="F101" s="1"/>
      <c r="H101" s="1"/>
      <c r="I101" s="1"/>
      <c r="J101" s="1"/>
      <c r="K101" s="1"/>
      <c r="L101" s="1"/>
    </row>
    <row r="102" spans="1:13">
      <c r="G102" s="11">
        <f>G97-'[1]WEB-2019'!$G$98</f>
        <v>0</v>
      </c>
      <c r="H102" s="12">
        <f>H97-'[1]WEB-2019'!$H$98</f>
        <v>0</v>
      </c>
      <c r="I102" s="12">
        <f>I97-'[1]WEB-2019'!$I$98</f>
        <v>0</v>
      </c>
      <c r="J102" s="12">
        <f>J97-'[1]WEB-2019'!$J$98</f>
        <v>0</v>
      </c>
      <c r="K102" s="12">
        <f>K97-'[1]WEB-2019'!$K$98</f>
        <v>0</v>
      </c>
      <c r="L102" s="12">
        <f>L97-'[1]WEB-2019'!$L$98</f>
        <v>0</v>
      </c>
    </row>
    <row r="103" spans="1:13" ht="39" customHeight="1">
      <c r="G103" s="11"/>
      <c r="H103" s="12"/>
      <c r="I103" s="12"/>
      <c r="J103" s="12"/>
      <c r="K103" s="12"/>
      <c r="L103" s="12"/>
    </row>
    <row r="104" spans="1:13" ht="21.75" customHeight="1"/>
  </sheetData>
  <mergeCells count="154">
    <mergeCell ref="A99:L99"/>
    <mergeCell ref="A88:F88"/>
    <mergeCell ref="A85:F85"/>
    <mergeCell ref="M25:M26"/>
    <mergeCell ref="C25:C26"/>
    <mergeCell ref="A25:A26"/>
    <mergeCell ref="D25:D26"/>
    <mergeCell ref="G25:G26"/>
    <mergeCell ref="H25:H26"/>
    <mergeCell ref="I25:I26"/>
    <mergeCell ref="J25:J26"/>
    <mergeCell ref="K25:K26"/>
    <mergeCell ref="L25:L26"/>
    <mergeCell ref="B20:B21"/>
    <mergeCell ref="C20:C21"/>
    <mergeCell ref="D20:D21"/>
    <mergeCell ref="E19:E21"/>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B12:B13"/>
    <mergeCell ref="C8:C9"/>
    <mergeCell ref="C12:C13"/>
    <mergeCell ref="J10:J11"/>
    <mergeCell ref="I10:I11"/>
    <mergeCell ref="F8:F9"/>
    <mergeCell ref="K10:K11"/>
    <mergeCell ref="J8:J9"/>
    <mergeCell ref="H12:H13"/>
    <mergeCell ref="H10:H11"/>
    <mergeCell ref="A83:A84"/>
    <mergeCell ref="B83:B84"/>
    <mergeCell ref="C83:C84"/>
    <mergeCell ref="D83:D84"/>
    <mergeCell ref="E83:E84"/>
    <mergeCell ref="F83:F84"/>
    <mergeCell ref="F41:F42"/>
    <mergeCell ref="J41:J42"/>
    <mergeCell ref="K41:K42"/>
    <mergeCell ref="A56:F56"/>
    <mergeCell ref="A65:F65"/>
    <mergeCell ref="A78:F78"/>
    <mergeCell ref="A41:A42"/>
    <mergeCell ref="B41:B42"/>
    <mergeCell ref="A43:A44"/>
    <mergeCell ref="B43:B44"/>
    <mergeCell ref="C43:C44"/>
    <mergeCell ref="G43:G44"/>
    <mergeCell ref="H43:H44"/>
    <mergeCell ref="I43:I44"/>
    <mergeCell ref="K79:K81"/>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G18:G19"/>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H41:H42"/>
    <mergeCell ref="L79:L81"/>
    <mergeCell ref="M79:M81"/>
    <mergeCell ref="A79:A81"/>
    <mergeCell ref="G79:G81"/>
    <mergeCell ref="H79:H81"/>
    <mergeCell ref="I79:I81"/>
    <mergeCell ref="J79:J81"/>
    <mergeCell ref="B70:B71"/>
    <mergeCell ref="C70:C71"/>
    <mergeCell ref="E70:E71"/>
    <mergeCell ref="B74:B76"/>
    <mergeCell ref="C74:C76"/>
    <mergeCell ref="D74:D76"/>
    <mergeCell ref="E74:E76"/>
    <mergeCell ref="M67:M68"/>
    <mergeCell ref="A10:A11"/>
    <mergeCell ref="A58:A59"/>
    <mergeCell ref="B58:B59"/>
    <mergeCell ref="C58:C59"/>
    <mergeCell ref="F58:F59"/>
    <mergeCell ref="H58:H59"/>
    <mergeCell ref="C41:C42"/>
    <mergeCell ref="A37:F37"/>
    <mergeCell ref="L30:L31"/>
    <mergeCell ref="I12:I13"/>
    <mergeCell ref="K30:K31"/>
    <mergeCell ref="J30:J31"/>
    <mergeCell ref="B67:B69"/>
    <mergeCell ref="C67:C69"/>
    <mergeCell ref="D67:D69"/>
    <mergeCell ref="E67:E69"/>
    <mergeCell ref="A14:A15"/>
    <mergeCell ref="B30:B31"/>
    <mergeCell ref="F30:F31"/>
    <mergeCell ref="G30:G31"/>
    <mergeCell ref="H30:H31"/>
    <mergeCell ref="I30:I31"/>
    <mergeCell ref="I14:I15"/>
  </mergeCells>
  <printOptions horizontalCentered="1"/>
  <pageMargins left="0" right="0" top="0.19685039370078741" bottom="0.23622047244094491" header="0" footer="0"/>
  <pageSetup paperSize="9" scale="31" fitToHeight="0" orientation="landscape" r:id="rId1"/>
  <headerFooter alignWithMargins="0"/>
  <rowBreaks count="2" manualBreakCount="2">
    <brk id="36" max="12" man="1"/>
    <brk id="8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2020-02-04T07:25:12Z</cp:lastPrinted>
  <dcterms:created xsi:type="dcterms:W3CDTF">2011-04-14T08:42:21Z</dcterms:created>
  <dcterms:modified xsi:type="dcterms:W3CDTF">2020-03-11T11:01:33Z</dcterms:modified>
</cp:coreProperties>
</file>