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nru\Desktop\WEB\december\"/>
    </mc:Choice>
  </mc:AlternateContent>
  <bookViews>
    <workbookView showHorizontalScroll="0" showVerticalScroll="0" showSheetTabs="0" xWindow="0" yWindow="0" windowWidth="19200" windowHeight="7050" tabRatio="177"/>
  </bookViews>
  <sheets>
    <sheet name="For Website_ENG" sheetId="12" r:id="rId1"/>
  </sheets>
  <externalReferences>
    <externalReference r:id="rId2"/>
  </externalReferences>
  <definedNames>
    <definedName name="_xlnm.Print_Area" localSheetId="0">'For Website_ENG'!$A$1:$M$107</definedName>
    <definedName name="_xlnm.Print_Titles" localSheetId="0">'For Website_ENG'!$A:$M,'For Website_ENG'!$4:$6</definedName>
  </definedNames>
  <calcPr calcId="162913"/>
</workbook>
</file>

<file path=xl/calcChain.xml><?xml version="1.0" encoding="utf-8"?>
<calcChain xmlns="http://schemas.openxmlformats.org/spreadsheetml/2006/main">
  <c r="K103" i="12" l="1"/>
  <c r="K102" i="12"/>
  <c r="K101" i="12"/>
  <c r="K99" i="12"/>
  <c r="L98" i="12"/>
  <c r="K98" i="12"/>
  <c r="K97" i="12"/>
  <c r="K96" i="12"/>
  <c r="L95" i="12"/>
  <c r="K95" i="12"/>
  <c r="L94" i="12"/>
  <c r="K91" i="12"/>
  <c r="K90" i="12"/>
  <c r="L87" i="12"/>
  <c r="K85" i="12"/>
  <c r="K84" i="12"/>
  <c r="K83" i="12"/>
  <c r="L80" i="12"/>
  <c r="K80" i="12"/>
  <c r="K74" i="12"/>
  <c r="K73" i="12"/>
  <c r="K72" i="12"/>
  <c r="K71" i="12"/>
  <c r="K70" i="12"/>
  <c r="K69" i="12"/>
  <c r="L68" i="12"/>
  <c r="K68" i="12"/>
  <c r="K67" i="12"/>
  <c r="L65" i="12"/>
  <c r="K65" i="12"/>
  <c r="L64" i="12"/>
  <c r="L63" i="12"/>
  <c r="K63" i="12"/>
  <c r="L62" i="12"/>
  <c r="K62" i="12"/>
  <c r="L61" i="12"/>
  <c r="K61" i="12"/>
  <c r="K60" i="12"/>
  <c r="K58" i="12"/>
  <c r="K55" i="12"/>
  <c r="L54" i="12"/>
  <c r="K54" i="12"/>
  <c r="K53" i="12"/>
  <c r="K52" i="12"/>
  <c r="K51" i="12"/>
  <c r="I37" i="12"/>
  <c r="K50" i="12"/>
  <c r="K49" i="12"/>
  <c r="K48" i="12"/>
  <c r="L47" i="12"/>
  <c r="K47" i="12"/>
  <c r="K46" i="12"/>
  <c r="K45" i="12"/>
  <c r="K41" i="12"/>
  <c r="L40" i="12"/>
  <c r="K40" i="12"/>
  <c r="L39" i="12"/>
  <c r="K39" i="12"/>
  <c r="L38" i="12"/>
  <c r="K38" i="12"/>
  <c r="K10" i="12"/>
  <c r="I7" i="12"/>
  <c r="K36" i="12"/>
  <c r="K35" i="12"/>
  <c r="K34" i="12"/>
  <c r="K33" i="12"/>
  <c r="K32" i="12"/>
  <c r="K25" i="12"/>
  <c r="K24" i="12"/>
  <c r="K21" i="12"/>
  <c r="K20" i="12"/>
  <c r="K18" i="12"/>
  <c r="L17" i="12"/>
  <c r="K17" i="12"/>
  <c r="K16" i="12"/>
  <c r="K14" i="12"/>
  <c r="K8" i="12"/>
  <c r="K43" i="12"/>
  <c r="K12" i="12"/>
  <c r="K27" i="12" l="1"/>
  <c r="K30" i="12"/>
  <c r="I56" i="12" l="1"/>
  <c r="J89" i="12"/>
  <c r="I89" i="12"/>
  <c r="L88" i="12" l="1"/>
  <c r="H56" i="12" l="1"/>
  <c r="G56" i="12"/>
  <c r="J56" i="12"/>
  <c r="H66" i="12"/>
  <c r="G66" i="12"/>
  <c r="G79" i="12"/>
  <c r="G89" i="12"/>
  <c r="H89" i="12"/>
  <c r="K78" i="12"/>
  <c r="K77" i="12"/>
  <c r="K76" i="12"/>
  <c r="L75" i="12"/>
  <c r="K75" i="12"/>
  <c r="F65" i="12"/>
  <c r="L57" i="12"/>
  <c r="L56" i="12" s="1"/>
  <c r="K57" i="12"/>
  <c r="L89" i="12" l="1"/>
  <c r="K89" i="12"/>
  <c r="K56" i="12"/>
  <c r="H79" i="12" l="1"/>
  <c r="I79" i="12"/>
  <c r="J79" i="12"/>
  <c r="K79" i="12"/>
  <c r="L79" i="12"/>
  <c r="I66" i="12"/>
  <c r="J66" i="12"/>
  <c r="L66" i="12"/>
  <c r="K66" i="12" l="1"/>
  <c r="G37" i="12" l="1"/>
  <c r="J37" i="12" l="1"/>
  <c r="H37" i="12"/>
  <c r="L37" i="12" l="1"/>
  <c r="K37" i="12"/>
  <c r="E68" i="12" l="1"/>
  <c r="F61" i="12"/>
  <c r="E61" i="12"/>
  <c r="E59" i="12"/>
  <c r="E58" i="12"/>
  <c r="E42" i="12"/>
  <c r="E41" i="12"/>
  <c r="J7" i="12" l="1"/>
  <c r="H7" i="12"/>
  <c r="G7" i="12"/>
  <c r="L7" i="12"/>
  <c r="K7" i="12" l="1"/>
  <c r="G86" i="12" l="1"/>
  <c r="G104" i="12" s="1"/>
  <c r="H86" i="12"/>
  <c r="I86" i="12"/>
  <c r="J86" i="12"/>
  <c r="J104" i="12" s="1"/>
  <c r="J110" i="12" s="1"/>
  <c r="K86" i="12"/>
  <c r="K104" i="12" s="1"/>
  <c r="K110" i="12" s="1"/>
  <c r="L86" i="12"/>
  <c r="L104" i="12" s="1"/>
  <c r="L110" i="12" s="1"/>
  <c r="H104" i="12" l="1"/>
  <c r="I104" i="12"/>
  <c r="I110" i="12" s="1"/>
</calcChain>
</file>

<file path=xl/sharedStrings.xml><?xml version="1.0" encoding="utf-8"?>
<sst xmlns="http://schemas.openxmlformats.org/spreadsheetml/2006/main" count="275" uniqueCount="195">
  <si>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</si>
  <si>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</si>
  <si>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</si>
  <si>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</si>
  <si>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</si>
  <si>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</si>
  <si>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</si>
  <si>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</si>
  <si>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</si>
  <si>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</si>
  <si>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</si>
  <si>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</si>
  <si>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</si>
  <si>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</si>
  <si>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</si>
  <si>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</si>
  <si>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</si>
  <si>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</si>
  <si>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</si>
  <si>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</si>
  <si>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</si>
  <si>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Second Regional and Municipal Infrastructure Development Project (WB)</t>
  </si>
  <si>
    <t>Development of Protected Areas (CNF)</t>
  </si>
  <si>
    <t>Road Infrastructure</t>
  </si>
  <si>
    <t>Energy Infrastructure</t>
  </si>
  <si>
    <t>Agriculture Sector</t>
  </si>
  <si>
    <t>Environment Protection</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</si>
  <si>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</si>
  <si>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</si>
  <si>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</si>
  <si>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</si>
  <si>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</si>
  <si>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</si>
  <si>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</si>
  <si>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</si>
  <si>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</si>
  <si>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</si>
  <si>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</si>
  <si>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</si>
  <si>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</si>
  <si>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</si>
  <si>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</si>
  <si>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</si>
  <si>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</si>
  <si>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</si>
  <si>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</si>
  <si>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</si>
  <si>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</si>
  <si>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</si>
  <si>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</si>
  <si>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</si>
  <si>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</si>
  <si>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</si>
  <si>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</si>
  <si>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Water Infrastructure Modernisation Project II (EIB, EU)</t>
  </si>
  <si>
    <t>Transmission Line Project - 500 kv "Ksani - Stefanwminda" ( KfW).</t>
  </si>
  <si>
    <t>Kobuleti Wastewater Project (EBRD, ORET)</t>
  </si>
  <si>
    <t>250MGvar reactor in substation "Zestafoni"(EBRD)</t>
  </si>
  <si>
    <t>Georgian Electricity Sector Development (WB)</t>
  </si>
  <si>
    <t>Third Secondary and Local Roads Project (SLRP III) (WB)</t>
  </si>
  <si>
    <t xml:space="preserve"> Sustainable Urban Transport Investment Program (ADB)</t>
  </si>
  <si>
    <t>Batumi Bus Project (EBRD, E5P)</t>
  </si>
  <si>
    <t>Capacity building of the Georgian Armed forces (France - SG) (ongoing)</t>
  </si>
  <si>
    <t>12.06.2017</t>
  </si>
  <si>
    <t>30.06.2023</t>
  </si>
  <si>
    <t>19,06,2017</t>
  </si>
  <si>
    <t>15,10,2015</t>
  </si>
  <si>
    <t xml:space="preserve"> Kutaisi Waste Water (EIB, EPTATF)</t>
  </si>
  <si>
    <t>Construction/Upgrading of Algeti-Sadakhlo Road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</si>
  <si>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</si>
  <si>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</si>
  <si>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</si>
  <si>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</si>
  <si>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</si>
  <si>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</si>
  <si>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</si>
  <si>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</si>
  <si>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</si>
  <si>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</si>
  <si>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</si>
  <si>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</si>
  <si>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</si>
  <si>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</si>
  <si>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</si>
  <si>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</si>
  <si>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</si>
  <si>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</si>
  <si>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</si>
  <si>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</si>
  <si>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</si>
  <si>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</si>
  <si>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</si>
  <si>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</si>
  <si>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</si>
  <si>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</si>
  <si>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 xml:space="preserve"> Donors’ supported Projects Envisaged in the State Budget</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</si>
  <si>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</si>
  <si>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</si>
  <si>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</si>
  <si>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</si>
  <si>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</si>
  <si>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</si>
  <si>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</si>
  <si>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</si>
  <si>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</si>
  <si>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</si>
  <si>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</si>
  <si>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</si>
  <si>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</si>
  <si>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</si>
  <si>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31.08.2021</t>
  </si>
  <si>
    <t xml:space="preserve">  Kutaisi - Construction/rehabilitation of water supply systems and treatment Plant (the procedures of designing of construction works and supervisory service procurement are ongoing).</t>
  </si>
  <si>
    <t>Rehabilitation and Reconstruction of Chiatura's Gondola Lifts (France)</t>
  </si>
  <si>
    <t xml:space="preserve"> To  implement a regional municipal waste management system in Zugdidi (on the existing waste management base) and Gurjaani (village Melaani) that will serve Samegrelo-Zemo Svaneti and Kakheti regions (preparatory works are ongoing).</t>
  </si>
  <si>
    <t>Construction of Grigoleti-Choloki (km48 - km64) section of Senaki-Poti-Sarpi Road (EIB)</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</si>
  <si>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</si>
  <si>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 xml:space="preserve">Consturction-Rehabilitation of Khevi-Ubisa section of Tbilisi-Senaki-Leselidze Road (construction works are ongoing).  </t>
  </si>
  <si>
    <t xml:space="preserve">Construction of Grigoleti-Choloki (km48 - km64) section of Senaki-Poti-Sarpi Road  (constructions works are ongoing).  </t>
  </si>
  <si>
    <t xml:space="preserve"> Rehabilitation of secondary road connecting Dzirula-Kharagauli-Moliti-Pona-Chumateleti Road ( Dzirula-Moliti road rehabilitation - the constraction works are ongoing). </t>
  </si>
  <si>
    <t>Construction of Poti Bridge on River Rioni (ADB)</t>
  </si>
  <si>
    <t>Rehabilitation of secondary and local roads in different regions of Georgia (approx. 225 km in total) (The project was closed on June 30, 2019).</t>
  </si>
  <si>
    <t>Amount envisaged in the State Budget 2020</t>
  </si>
  <si>
    <t>Expenditures made during the Year of 2020
(Actual expenditures) **</t>
  </si>
  <si>
    <t xml:space="preserve">Consturction-Rehabilitation of Shorapani Argveta Section of Tbilisi-Senaki-Leselidze Road (ADB)) </t>
  </si>
  <si>
    <t>Dairy Modernization and Market Access Programme  -  DiMMA (IFAD)</t>
  </si>
  <si>
    <t>Vocational Education Programme I (KfW)</t>
  </si>
  <si>
    <t xml:space="preserve"> Livable Cities Investment Program (ADB)</t>
  </si>
  <si>
    <t>Urban Transport Development  (EBRD)</t>
  </si>
  <si>
    <t xml:space="preserve">The resource will mainly finance the preparatory activities of the projects planned within the framework of the "Cities for Investment Program" (Feasibility study of projects, detailed study of social and environmental conditions, preparation of design and tender documentation and other). </t>
  </si>
  <si>
    <t xml:space="preserve"> - Construction of Administrative and Visitor Centers of  Kazbegi, Kintrishi, Algeti Protected Areas was completed; 
-  Eco-tourism strategies of Kazbegi, Kintrishi, Algeti and Pshav-Khevsureti are developed;  
- Management plans for Kazbegi, Kintrishi, Algeti and Pshav-Khevsureti are developed and prepared for approval; 
-  Construction of Pshav-Khevsureti Administration and Visitor Center is ongoing;
-  Rehabilitation of Manglisi Roche Park is completing; 
- The demarcation of Pshav-Khevsureti is completed; 
-  The physical demarcation of Kazbegi, Kintrishi, Algeti and Pshav-Khevsureti is completed; 
-The Prometheus Cave Exhibition space was fully rehabilitated; 
- A rope park was set up in Manglisi, Algeti National Park.  </t>
  </si>
  <si>
    <t>To expand access to preschool education and improve the quality of education and learning environments.</t>
  </si>
  <si>
    <t xml:space="preserve"> Construction of a Centre of Excellence, including equiping of classrooms and workshops and making small investmens in existing vocational colleges.</t>
  </si>
  <si>
    <t>Providing Applied Research Grants to scientists selected through the Shota Rustaveli National Science Foundation.</t>
  </si>
  <si>
    <t>Applied Research Grants  Program (National Innovation Ecosystem Project) (IBRD)</t>
  </si>
  <si>
    <t xml:space="preserve">- Construction of a new Kobuleti Bypass Road (approximately 32 km) (First section (12+400 - km 31+259) of the Highway is open for traffic, construction works completed for second section (18 km), traffic is open);
- Detailed project preparation works completed for Khevi-Argveta section;
- Detailed project preparation works are ongoing for Tbilisi-Natakhtari-Zhinvali section.Due to the completion of the program, the source of funding for this agreement has changed. The agreement was transferred to the constructionof the project for Khevi-Ubisa section.
</t>
  </si>
  <si>
    <t xml:space="preserve"> - Construction of Zestafoni - Kutaisi section (15.2 km) (Construction works are completed, the road section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</si>
  <si>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Reconstruction and construction of Tbilisi-Senaki-Leselidze road Khevi Ubisa section (construction works are onging). 
Detailed project preparation works are ongoing for  Tbilisi and Natakhtari-Zhinvali section.</t>
  </si>
  <si>
    <t>Construction of Poti Bridge on River Rioni and the tender proposal is being evaluated on the tender for the construction of access roads.</t>
  </si>
  <si>
    <t>Batumi (Angisa) - Rehabilitation-reconstruction of Khulo-Zarzma section of Akhaltsikhe highway.) (Kuwait Fund)</t>
  </si>
  <si>
    <t>29.11.2019</t>
  </si>
  <si>
    <t>20.12.2022</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</si>
  <si>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t>
  </si>
  <si>
    <t>GRANT - KfW - Economic Integration, Housing and Social Infrastructure for IDPs and Host Communities</t>
  </si>
  <si>
    <t>Total</t>
  </si>
  <si>
    <t>- A total of 236 houses will be built in Georgia on the land plots owned by internally displaced families. A village settlement will be created in Marneuli for internally displaced families.
-  24 small scale infrastructural projects will be implemented near the settlements where the internally displaced people live. Eight new kindergarten will be built and two preschool facilities will be renovated.
- A total of 236 grants will be issued in order to give source of income to the families moved to the new living area.
- 130 business grants will be issued to small and medium sized enterprises to create job places for internally displaced people.
About 260 young internally displaced person will undergo the professional qualification courses. Also, in western Georgia educational cetnres will be built for improving professional education and skills for internally displaced people.</t>
  </si>
  <si>
    <t>Bakuriani Municipal Service Improvement Program  (EBRD)</t>
  </si>
  <si>
    <t>KfW - Rural Water Supply and Waste Water Programme - Adjara</t>
  </si>
  <si>
    <t>Tbilisi Metro Project (EBRD)</t>
  </si>
  <si>
    <t>Upgrading of approximately 11 km of the existing 2-line East-West Highway Corridor to a  2-line dual carriageway from  Chumateleti to Khevi (Construction works are ongoing).</t>
  </si>
  <si>
    <t>The project envisages rehabilitation of water supply and sewerage systems in the villages of Khulo, Keda and Shuakhevi, Khelvachauri and Kobuleti municipalities of the Autonomous Republic of Adjara. The procedures for planning works are ongoing  at this stage.</t>
  </si>
  <si>
    <t>Rehabilitation / equipping of medical facilities and establishment of their functional as multidisciplinary hospitals.</t>
  </si>
  <si>
    <t>Funding of COVID-19 related measures for Health Sector (EIB)</t>
  </si>
  <si>
    <t xml:space="preserve">Reconstruction - Rehabilitation and necessary efficiency improvements of approximately 25 public schools in Tbilisi. (preparatory works are ongoing). </t>
  </si>
  <si>
    <r>
      <t>Date of Agreement</t>
    </r>
    <r>
      <rPr>
        <b/>
        <sz val="12"/>
        <color theme="1"/>
        <rFont val="Calibri"/>
        <family val="2"/>
      </rPr>
      <t>*</t>
    </r>
  </si>
  <si>
    <t>Georgia I2Q - Innovation, Inclusion and Quality Project (IBRD) - MES</t>
  </si>
  <si>
    <t>Georgia I2Q - Innovation, Inclusion and Quality Project (IBRD) - MDF</t>
  </si>
  <si>
    <t xml:space="preserve"> - Construction of the Agara - Zemo Osiauri Section (approximately 12 km) of the Highway (construction works are completed, it is open for traffic);
 - Construction of a riverbank protection (approximately 3.4 km) structure (completed);
 - Feasibility study and other preparatory activities (including Second Rikoti Tunnel) for the construction of the Rikoti-Zestafoni Section of Highway (completed);
- Detailed project preparation works completed for Chumateleti-Khevi, Zhinvali-Larsi and Samtredia-Zugdidi-Anaklia sections;
- Detailed project preparation works are ongoing for Rustavi-Red Bridge-Sadakhlo and Tbilisi-Lagodekhi sections.;
- Detailed project preparation works completed  for Rustavi-Red Bridge-Sadakhlo section;
- Detailed project preparation works are ongoing for Tbilisi-Lagodekhi section.</t>
  </si>
  <si>
    <t>-Mestia - Construction of Water Intake building (completed);Construction/rehabilitation of water supply and wastewater networks (construction works are completed); Construction of wastewater treatment plant and new reservoir, rehabilitation of existing reservoir (Construction was completed; A final testing day has been set); Designing and construction of Mestia wastewater treatment plant rehabilitation (project works are ongoing);
 -Anaklia - Construction of Water Intake building; Construction/rehabilitation of water supply and wastewater networks (completed); construction of wastewater treatment plant (the storage procedures are ongoing); Construction/projecting of wastewater treatment plant (მaintenance procedures are ongoing);
-  Kutaisi - Construction/rehabilitation of water supply systems (reservoirs, pumping stations, water distribution network) (the acceptance procedures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 completed, the warranty period is ongoing); 
- Ureki - Construction of wastewater collector and treatment plant (completed, the testing process is ongoing, ნegotiations are ongoing with the contractor in order to bring  the relevant experts);
 - Zugdidi - Construction of water systems (completed, acceptance procedures are underway);
 - Zugdidi - Construction/rehabilitation of wastewater systems  (completed, acceptance procedures are underway);
 - Zugdidi - Construction of water supply and wastewater systems (the procedures for selection of the design are ongoing);
- Jvari – Construction of Water Supply System (construction works are ongoing);  
- Chiatura - Construction of Water Supply System (comleted, acceptance procedures are ongoing); 
- Marneuli - Rehabilitation of water supply and wastewater system facilities ( the mobilization works are ongoing);
- Marneuli - wastewater-treatment plant designing and construction ( project works are ongoing and the mobilization process has started); 
- Construction of Abasha main line (constructions works are ongoing);
-  Construction of Water Supply System in Telavi  (the procedures for preparing tender documentation is ongoing); 
- Construction water and sewerage systems in Gudauri (construction works are ongoing); 
-  Constraction of wastewater treatment plant in Gudauri (project works are ongoing).M55</t>
  </si>
  <si>
    <t>Improving the educational infrastructure to support learning.</t>
  </si>
  <si>
    <t xml:space="preserve"> - Construction of a new four lane highway (approx. 50 km) from Samtredia to Grigoleti (construction works are going under the I and IV lots, ll lot - construction works have been completed and is opened for traffic; III lot -   the procedures of evaluation of submitted proposals at the pre-qualification are ongoing , the deadline for submitting applications is February 04, 2020);
-  The contract  for  Lot I was terminated and the contract for the remaining works was signed on November 13, 2018. Deadline for completion of works  is planned by 2021.
- The contract for Lot II was signed on November 13, 2015. (The works are completed, the traffic is open);
- The contract for Lot  IV  was signed on December 24, 2014. Completion of works  is planned by 2021.
 - Road sections of Poti-Grigoleti and Grigoleti-Kobuleti Bypass Road (  preparation of the Detailed Design was completed);</t>
  </si>
  <si>
    <t>Construction of Tbilisi-Bakurtsikhe-Lagodekhi road km20-km50 section of Lochini-Sagarejo (detailed project preparation works are ongoing).</t>
  </si>
  <si>
    <t>30.08.2024</t>
  </si>
  <si>
    <t xml:space="preserve">- Renewing the Solid Waste collection fleet (rear loaded compactor vehicles) (tender was announced);
-  Upgrading of the existing solid waste transfer station (The process of preparation of tender documents is ongoing);
- Rehabilitation and Improvement  of the  leachate system at the  solid waste landfill of Tbilisi (the process of agreement on system specification with consultant is ongoing). </t>
  </si>
  <si>
    <t>Rehabilitation of wastewater collector and treatment plant in Kobuleti  (completed). Consultations are ongoing with the EBRD on the use of the remaining funds).</t>
  </si>
  <si>
    <t xml:space="preserve">Purchase of Tbilisi Metro carriages; Rehabilitation of metro depot and tunnel. The second stage of the tender is ongoing for the purchasing  of carrages; concluding the contract with the winning company is scheduled by January 2021. </t>
  </si>
  <si>
    <t>31.12.2020</t>
  </si>
  <si>
    <t xml:space="preserve">  - Construction of Batumi Bypass two-lane 14.3 km Road (construction works are ongoing);
 - Rehabilitation works of the 21 km long section of the Tbilisi (Gldani) -Tianeti highway (including 7 landslide zones) will be carried out instead of the maintenance works envisaged by the loan agreement (detailed project preparation works are ongoing).
- Detailed project preparation works are ongoing for Batumi-Sarfi section. </t>
  </si>
  <si>
    <t>Construction of road and tunnel on Kvesheti-Kobi section of Mtskheta-Stepantsminda-Larsi Road. Road section: (Construction works are onoing).</t>
  </si>
  <si>
    <t xml:space="preserve"> Rehabilitation-reconstruction of Shorapani-Argveta section of Tbilisi-Senaki-Leselidze highway. The agreement was signed on January 16, 2020  (Construction works are onoing).</t>
  </si>
  <si>
    <t xml:space="preserve"> - Rehabilitation  of selected secondary road sections in Guria region (Tender was announced for the rehabilitation works of 7 sections);
 - Rehabilitation of selected secondary road sections in Mtskheta - Mtianeti, Racha - Lechkhumi and Shida Kartli regions considering the design and construction conditions (rehabilitation works were completed for two sections, the contract was terminated on lots I and II. Tender proposals were opened on April 3, 2020 within the framework of the re-announced tender. The companies that won the tender have been identified,the contracts are signed for both lots, the works are ongoing;
 -Monitoring and supervision of works contracts (supervision of rehabilitation works  of 4 road sections is ongoing).</t>
  </si>
  <si>
    <t xml:space="preserve">As of December 31, 2020 (In thousand) </t>
  </si>
  <si>
    <t>Log-in Georgia (WB)</t>
  </si>
  <si>
    <t>The objective of the Project is to increase access to affordable broadband internet, and to promote its use by individuals and enterprises, in selected rural settlements.</t>
  </si>
  <si>
    <t xml:space="preserve"> Livable Cities Investment Program - Phase-i (ADB)</t>
  </si>
  <si>
    <t xml:space="preserve">  - Construction of the Zemo Osiauri - Chumateleti Section (approximately 14.1 km) of the Highway ( construction works  for Lot I are completed, agreement for Lot II was terminated, out of which  for 1.9 km section (km-5 + 800-km-7 + 700) the contract was signed with the contracting company of Lot I - Sinohydro the works on the km0-km7.7 section have been completed and is open for traffic.Tender for the remaining part of Lot II (km7.7-km 14.6) were opened on April 1, 2020. Based on the evaluation of the submitted bids revealed the winning company, the contract was signed on December 16, 2020. Work is scheduled to begin in March 2021.
- Institutional Development of the Roads Department (ongoing);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(ongoing). </t>
  </si>
  <si>
    <t xml:space="preserve">Construction of Rustavi-Red Bridge (km22 - km57) section of Tbilisi-Red Bridge (Border of Republic of Azerbaijan) (planned). </t>
  </si>
  <si>
    <t>Construction/Upgrading of Algeti-Sadakhlo Road  (planned)</t>
  </si>
  <si>
    <t>Rehabilitation of secondary and local roads in different regions of Georgia (approx. 200 km in total) (rehabilitation works for additional 12 road sections are completed  within the project (approx. 80 km in total). Road traffic safety improvement works in Imereti and Shida Kartli regions have been completed; Road safety works are ongoing in Racha-Lechkhumi and Kvemo Svaneti, Imereti and Adjara regions
- Bakurtsikhe-Tsnori and Gurjaani-Telavi section (detailed project preparation completed)
-12 km out of the 15.5 km section of Gurjaani bypass road has been completed, as well as the construction of 6 bridges out of 7 bridges have been completed, land  and construction works  of artificial buildings and  the road surface of the upper layer of the ground are ongoing.</t>
  </si>
  <si>
    <t>Batumi (Angisa) - Rehabilitation of the Khulo-Zarzma section of the Akhaltsikhe highway has been suspended. Contracts (Lot I and Lot II) were signed with the company that won the re-announced tender (the works are ongoing).</t>
  </si>
  <si>
    <t>Construction of a new bridge at the Sadakhlo-Bagratashen border crossing between the Republic of Armenia and Georgia  (Detailed design works completed, the necessary procedures for starting the construction works are ongoing).</t>
  </si>
  <si>
    <t xml:space="preserve"> -Construction of a new, modern solid waste landfill in Adjara (Kobuleti, near Tsetskhlauri village; the works are ongoing); 
 - Closure of the existing solid waste landfill in Batumi (to be closed once a new solid waste landfill becomes operational).</t>
  </si>
  <si>
    <t xml:space="preserve">  - Construction of a new solid waste landfill (Studies are ongoing to select a new location);
 - Purchasing of necessary machinery/equipment for the transportation of solid waste and functioning of the sanitary landfill (planned);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</si>
  <si>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(completed); 
 -  Coastal protection of Anaklia Phase II (completed);
 -   Construction of a coastal protection works in Batumi (completed);
 -  Rehabiliotation of subway station in Tbilisi (  replacement of subway electrical and ventilation system) (construction works are ongoing).</t>
  </si>
  <si>
    <t xml:space="preserve"> -  Rehabilitation of infrastructure in Tskaltubo;
 -  Rehabilitation and improvement of cultural heritage sites in Imereti region (supportive infrastructure) 
(completed).</t>
  </si>
  <si>
    <t>Implementation of energy efficiency activities in public buildings. (Implementation of renewable and alternative energy sources in administrative and educational buildings) (construction works are ongoing).</t>
  </si>
  <si>
    <t>To purchase 175 new buses for 6 cities (Gori, Kutaisi, Poti, Rustavi, Telavi and Zugdidi )  and rehabilitation of outdated municipal transport. 118 buses are provided.</t>
  </si>
  <si>
    <t>To purchase the speciial techniques for improvement of the service quality and security measures in Bakuriani. 10 buses are provided, equipment is purchased. The equipment will finally be fully delivered in July 2021.</t>
  </si>
  <si>
    <t>Upgrade of Urban Mechanical equipment for reversible gondola ropeways for the city of Chiatura:
 - Gondola ropeway #1 Center - Sanatorium
 - Gondola ropeway #2 Center - Lezhubani 
 - Gondola ropeway #3 Center - Naguti
 - Gondola ropeway #4 Center - Mukhadze
Testing process is completed. Commissioning work is ongong.</t>
  </si>
  <si>
    <t xml:space="preserve">Construction of the wastewater treatment plants in Tskaltubo and Telavi (completed). </t>
  </si>
  <si>
    <r>
      <t xml:space="preserve">
- </t>
    </r>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Rehabilitation works for Tiriponi  irrigation system distribution network (G-3-2-1) and rehabilitation of its other distribution networks (Shida Kartli, Gori) are ongoing;
-  Rehabilitation of Tirifoni irigation system (G-3 distributor's internal network) (Gori Municipality) completed;
</t>
    </r>
  </si>
  <si>
    <r>
      <t xml:space="preserve">Development of value chain production / processing /sale and promotion of innovation in this sector. Institutional and organizational development;
 The program will be implemented in three regions: Imereti, Samegrelo-Zemo Svaneti and Samtskhe-Javakheti.
</t>
    </r>
    <r>
      <rPr>
        <b/>
        <sz val="12"/>
        <rFont val="Franklin Gothic Book"/>
        <family val="2"/>
        <scheme val="minor"/>
      </rPr>
      <t xml:space="preserve"> Development of the dairy value chain:
- </t>
    </r>
    <r>
      <rPr>
        <sz val="12"/>
        <rFont val="Franklin Gothic Book"/>
        <family val="2"/>
        <scheme val="minor"/>
      </rPr>
      <t>Within the grant component, 67 beneficiaries (including 8 women) were funded.
 -A company selection tender is ongoing to arrange demonstration plots.</t>
    </r>
  </si>
  <si>
    <t>Georgian Municipal Infrastructure Upgradel Project (EIB)</t>
  </si>
  <si>
    <t>(i) funding of public health schemes related to the field of public health in general (upgrading, construction and equipping of medical infrastructure throughout Georgia); And (ii) COVID19 specific schemes related to the COVID-19 pandemic response.</t>
  </si>
  <si>
    <t>- Purchasing of buses (diesel and electric). 40 units of diesel buses were purchased and brought to Georgia;
- Electric buses (8 units) are purchased and imported. The remaining 2 units of buses will also arrive In November, 2020.</t>
  </si>
  <si>
    <t>146 units of buses are purchased and imported; The remaining 80 units of  buses are planned to be purchased and imported by the end of 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</si>
</sst>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dd\.mm\.yyyy"/>
    <numFmt numFmtId="166" formatCode="#,##0.00000"/>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
      <b/>
      <sz val="12"/>
      <color theme="1"/>
      <name val="Calibri"/>
      <family val="2"/>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dotted">
        <color theme="0" tint="-0.499984740745262"/>
      </right>
      <top style="dotted">
        <color theme="0" tint="-0.499984740745262"/>
      </top>
      <bottom style="dotted">
        <color indexed="64"/>
      </bottom>
      <diagonal/>
    </border>
    <border>
      <left/>
      <right style="medium">
        <color indexed="64"/>
      </right>
      <top/>
      <bottom/>
      <diagonal/>
    </border>
    <border>
      <left style="medium">
        <color indexed="64"/>
      </left>
      <right style="medium">
        <color indexed="64"/>
      </right>
      <top/>
      <bottom/>
      <diagonal/>
    </border>
    <border>
      <left style="dotted">
        <color theme="1" tint="4.9989318521683403E-2"/>
      </left>
      <right style="dotted">
        <color theme="1" tint="4.9989318521683403E-2"/>
      </right>
      <top style="dotted">
        <color theme="1" tint="4.9989318521683403E-2"/>
      </top>
      <bottom style="thin">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right/>
      <top style="thin">
        <color indexed="64"/>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indexed="64"/>
      </right>
      <top style="thin">
        <color theme="1" tint="0.499984740745262"/>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theme="0" tint="-0.499984740745262"/>
      </right>
      <top style="medium">
        <color indexed="64"/>
      </top>
      <bottom style="dotted">
        <color theme="0" tint="-0.499984740745262"/>
      </bottom>
      <diagonal/>
    </border>
    <border>
      <left style="dotted">
        <color theme="0" tint="-0.499984740745262"/>
      </left>
      <right style="thin">
        <color indexed="64"/>
      </right>
      <top style="medium">
        <color indexed="64"/>
      </top>
      <bottom style="dotted">
        <color theme="0" tint="-0.499984740745262"/>
      </bottom>
      <diagonal/>
    </border>
    <border>
      <left style="thin">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thin">
        <color indexed="64"/>
      </right>
      <top style="dotted">
        <color theme="0" tint="-0.499984740745262"/>
      </top>
      <bottom style="dotted">
        <color theme="0" tint="-0.499984740745262"/>
      </bottom>
      <diagonal/>
    </border>
    <border>
      <left style="thin">
        <color indexed="64"/>
      </left>
      <right style="dotted">
        <color theme="0" tint="-0.499984740745262"/>
      </right>
      <top style="dotted">
        <color theme="0" tint="-0.499984740745262"/>
      </top>
      <bottom/>
      <diagonal/>
    </border>
    <border>
      <left style="dotted">
        <color theme="0" tint="-0.499984740745262"/>
      </left>
      <right style="thin">
        <color indexed="64"/>
      </right>
      <top style="dotted">
        <color theme="0" tint="-0.499984740745262"/>
      </top>
      <bottom/>
      <diagonal/>
    </border>
    <border>
      <left style="thin">
        <color indexed="64"/>
      </left>
      <right style="dotted">
        <color theme="0" tint="-0.499984740745262"/>
      </right>
      <top/>
      <bottom style="dotted">
        <color theme="0" tint="-0.499984740745262"/>
      </bottom>
      <diagonal/>
    </border>
    <border>
      <left style="dotted">
        <color theme="0" tint="-0.499984740745262"/>
      </left>
      <right style="thin">
        <color indexed="64"/>
      </right>
      <top/>
      <bottom style="dotted">
        <color theme="0" tint="-0.499984740745262"/>
      </bottom>
      <diagonal/>
    </border>
    <border>
      <left style="thin">
        <color indexed="64"/>
      </left>
      <right style="dotted">
        <color theme="1" tint="4.9989318521683403E-2"/>
      </right>
      <top style="dotted">
        <color theme="1" tint="4.9989318521683403E-2"/>
      </top>
      <bottom style="dotted">
        <color theme="1" tint="4.9989318521683403E-2"/>
      </bottom>
      <diagonal/>
    </border>
    <border>
      <left style="thin">
        <color indexed="64"/>
      </left>
      <right style="dotted">
        <color theme="0" tint="-0.499984740745262"/>
      </right>
      <top style="dotted">
        <color theme="0" tint="-0.499984740745262"/>
      </top>
      <bottom style="thin">
        <color indexed="64"/>
      </bottom>
      <diagonal/>
    </border>
    <border>
      <left style="dotted">
        <color theme="0" tint="-0.499984740745262"/>
      </left>
      <right style="thin">
        <color indexed="64"/>
      </right>
      <top style="dotted">
        <color theme="0" tint="-0.499984740745262"/>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dotted">
        <color theme="0" tint="-0.499984740745262"/>
      </left>
      <right style="thin">
        <color indexed="64"/>
      </right>
      <top style="medium">
        <color indexed="64"/>
      </top>
      <bottom/>
      <diagonal/>
    </border>
    <border>
      <left style="dotted">
        <color theme="0" tint="-0.499984740745262"/>
      </left>
      <right style="thin">
        <color indexed="64"/>
      </right>
      <top/>
      <bottom/>
      <diagonal/>
    </border>
    <border>
      <left style="thin">
        <color indexed="64"/>
      </left>
      <right style="dotted">
        <color theme="0" tint="-0.499984740745262"/>
      </right>
      <top style="dotted">
        <color theme="0" tint="-0.499984740745262"/>
      </top>
      <bottom style="medium">
        <color indexed="64"/>
      </bottom>
      <diagonal/>
    </border>
    <border>
      <left style="dotted">
        <color theme="0" tint="-0.499984740745262"/>
      </left>
      <right style="thin">
        <color indexed="64"/>
      </right>
      <top style="dotted">
        <color theme="0" tint="-0.499984740745262"/>
      </top>
      <bottom style="medium">
        <color indexed="64"/>
      </bottom>
      <diagonal/>
    </border>
    <border>
      <left style="dotted">
        <color theme="0" tint="-0.499984740745262"/>
      </left>
      <right style="dotted">
        <color theme="0" tint="-0.499984740745262"/>
      </right>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medium">
        <color indexed="64"/>
      </top>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medium">
        <color indexed="64"/>
      </left>
      <right style="dotted">
        <color theme="0" tint="-0.499984740745262"/>
      </right>
      <top style="dotted">
        <color theme="0" tint="-0.499984740745262"/>
      </top>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74">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4" xfId="1" applyNumberFormat="1" applyFont="1" applyFill="1" applyBorder="1" applyAlignment="1">
      <alignment horizontal="center" vertical="center"/>
    </xf>
    <xf numFmtId="165" fontId="5" fillId="2" borderId="13" xfId="1" applyNumberFormat="1" applyFont="1" applyFill="1" applyBorder="1" applyAlignment="1">
      <alignment horizontal="center" vertical="center" wrapText="1"/>
    </xf>
    <xf numFmtId="164" fontId="12" fillId="3" borderId="11" xfId="1" applyNumberFormat="1" applyFont="1" applyFill="1" applyBorder="1" applyAlignment="1">
      <alignment horizontal="center" vertical="center"/>
    </xf>
    <xf numFmtId="165" fontId="5" fillId="2" borderId="12" xfId="1" applyNumberFormat="1" applyFont="1" applyFill="1" applyBorder="1" applyAlignment="1">
      <alignment horizontal="center" vertical="center" wrapText="1"/>
    </xf>
    <xf numFmtId="165" fontId="5" fillId="2" borderId="14"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6" fillId="0" borderId="13" xfId="1" applyNumberFormat="1" applyFont="1" applyFill="1" applyBorder="1" applyAlignment="1">
      <alignment horizontal="center" vertical="center" wrapText="1"/>
    </xf>
    <xf numFmtId="165" fontId="7" fillId="2" borderId="13" xfId="1" applyNumberFormat="1" applyFont="1" applyFill="1" applyBorder="1" applyAlignment="1">
      <alignment horizontal="center" vertical="center" wrapText="1"/>
    </xf>
    <xf numFmtId="49" fontId="8" fillId="0" borderId="0" xfId="11" applyNumberFormat="1" applyFont="1" applyFill="1" applyBorder="1" applyAlignment="1">
      <alignment vertical="center"/>
    </xf>
    <xf numFmtId="165" fontId="7" fillId="0" borderId="12" xfId="1" applyNumberFormat="1" applyFont="1" applyFill="1" applyBorder="1" applyAlignment="1">
      <alignment horizontal="center" vertical="center" wrapText="1"/>
    </xf>
    <xf numFmtId="165" fontId="5" fillId="0" borderId="16" xfId="1" applyNumberFormat="1" applyFont="1" applyFill="1" applyBorder="1" applyAlignment="1">
      <alignment horizontal="center" vertical="center" wrapText="1"/>
    </xf>
    <xf numFmtId="165" fontId="14" fillId="2" borderId="16" xfId="1" applyNumberFormat="1" applyFont="1" applyFill="1" applyBorder="1" applyAlignment="1">
      <alignment horizontal="center" vertical="center" wrapText="1"/>
    </xf>
    <xf numFmtId="165" fontId="7" fillId="2" borderId="19" xfId="1" applyNumberFormat="1" applyFont="1" applyFill="1" applyBorder="1" applyAlignment="1">
      <alignment horizontal="center" vertical="center" wrapText="1"/>
    </xf>
    <xf numFmtId="166" fontId="9" fillId="0" borderId="0" xfId="1" applyNumberFormat="1" applyFont="1" applyFill="1" applyBorder="1" applyAlignment="1">
      <alignment vertical="center"/>
    </xf>
    <xf numFmtId="165" fontId="7" fillId="0" borderId="13" xfId="1" applyNumberFormat="1" applyFont="1" applyFill="1" applyBorder="1" applyAlignment="1">
      <alignment vertical="center" wrapText="1"/>
    </xf>
    <xf numFmtId="165" fontId="7" fillId="0" borderId="13" xfId="1" applyNumberFormat="1" applyFont="1" applyBorder="1" applyAlignment="1">
      <alignment horizontal="center" vertical="center" wrapText="1"/>
    </xf>
    <xf numFmtId="165" fontId="7" fillId="0" borderId="14" xfId="1" applyNumberFormat="1" applyFont="1" applyBorder="1" applyAlignment="1">
      <alignment horizontal="center" vertical="center" wrapText="1"/>
    </xf>
    <xf numFmtId="165" fontId="7" fillId="0" borderId="16" xfId="1" applyNumberFormat="1" applyFont="1" applyBorder="1" applyAlignment="1">
      <alignment horizontal="center" vertical="center" wrapText="1"/>
    </xf>
    <xf numFmtId="165" fontId="5" fillId="0" borderId="25" xfId="1" applyNumberFormat="1" applyFont="1" applyFill="1" applyBorder="1" applyAlignment="1">
      <alignment horizontal="center" vertical="center" wrapText="1"/>
    </xf>
    <xf numFmtId="0" fontId="7" fillId="0" borderId="0" xfId="1" applyFont="1" applyFill="1" applyBorder="1" applyAlignment="1">
      <alignment horizontal="left" vertical="center" wrapText="1"/>
    </xf>
    <xf numFmtId="165" fontId="5" fillId="0" borderId="17" xfId="1" applyNumberFormat="1" applyFont="1" applyFill="1" applyBorder="1" applyAlignment="1">
      <alignment horizontal="center" vertical="center" wrapText="1"/>
    </xf>
    <xf numFmtId="165" fontId="7" fillId="0" borderId="17" xfId="1" applyNumberFormat="1" applyFont="1" applyFill="1" applyBorder="1" applyAlignment="1">
      <alignment horizontal="center" vertical="center" wrapText="1"/>
    </xf>
    <xf numFmtId="165" fontId="5" fillId="0" borderId="13" xfId="1" applyNumberFormat="1" applyFont="1" applyFill="1" applyBorder="1" applyAlignment="1">
      <alignment horizontal="center" vertical="center" wrapText="1"/>
    </xf>
    <xf numFmtId="165" fontId="7" fillId="0" borderId="13" xfId="1" applyNumberFormat="1" applyFont="1" applyFill="1" applyBorder="1" applyAlignment="1">
      <alignment horizontal="center" vertical="center" wrapText="1"/>
    </xf>
    <xf numFmtId="165" fontId="5" fillId="0" borderId="12" xfId="1" applyNumberFormat="1" applyFont="1" applyFill="1" applyBorder="1" applyAlignment="1">
      <alignment horizontal="center" vertical="center" wrapText="1"/>
    </xf>
    <xf numFmtId="165" fontId="7" fillId="0" borderId="17" xfId="1" applyNumberFormat="1" applyFont="1" applyBorder="1" applyAlignment="1">
      <alignment horizontal="center" vertical="center" wrapText="1"/>
    </xf>
    <xf numFmtId="165" fontId="7" fillId="0" borderId="18" xfId="1" applyNumberFormat="1" applyFont="1" applyBorder="1" applyAlignment="1">
      <alignment horizontal="center" vertical="center" wrapText="1"/>
    </xf>
    <xf numFmtId="0" fontId="5" fillId="3" borderId="34" xfId="1" applyFont="1" applyFill="1" applyBorder="1" applyAlignment="1">
      <alignment horizontal="center" vertical="center"/>
    </xf>
    <xf numFmtId="49" fontId="7" fillId="3" borderId="35" xfId="12" applyNumberFormat="1" applyFont="1" applyFill="1" applyBorder="1" applyAlignment="1">
      <alignment horizontal="center" vertical="center" wrapText="1"/>
    </xf>
    <xf numFmtId="49" fontId="15" fillId="4" borderId="35" xfId="1" applyNumberFormat="1" applyFont="1" applyFill="1" applyBorder="1" applyAlignment="1">
      <alignment horizontal="center" vertical="center"/>
    </xf>
    <xf numFmtId="0" fontId="5" fillId="2" borderId="38" xfId="1" applyFont="1" applyFill="1" applyBorder="1" applyAlignment="1">
      <alignment horizontal="left" vertical="center" wrapText="1"/>
    </xf>
    <xf numFmtId="49" fontId="7" fillId="0" borderId="39" xfId="1" applyNumberFormat="1" applyFont="1" applyFill="1" applyBorder="1" applyAlignment="1">
      <alignment horizontal="left" vertical="center" wrapText="1"/>
    </xf>
    <xf numFmtId="0" fontId="7" fillId="0" borderId="38" xfId="1" applyFont="1" applyFill="1" applyBorder="1" applyAlignment="1">
      <alignment vertical="center" wrapText="1"/>
    </xf>
    <xf numFmtId="0" fontId="7" fillId="2" borderId="38" xfId="1" applyFont="1" applyFill="1" applyBorder="1" applyAlignment="1">
      <alignment vertical="center" wrapText="1"/>
    </xf>
    <xf numFmtId="49" fontId="7" fillId="0" borderId="41" xfId="1" applyNumberFormat="1" applyFont="1" applyFill="1" applyBorder="1" applyAlignment="1">
      <alignment horizontal="left" vertical="center" wrapText="1"/>
    </xf>
    <xf numFmtId="0" fontId="7" fillId="0" borderId="38"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36" xfId="1" applyFont="1" applyFill="1" applyBorder="1" applyAlignment="1">
      <alignment horizontal="left" vertical="center" wrapText="1"/>
    </xf>
    <xf numFmtId="49" fontId="7" fillId="0" borderId="37" xfId="1" applyNumberFormat="1" applyFont="1" applyFill="1" applyBorder="1" applyAlignment="1">
      <alignment horizontal="left" vertical="center" wrapText="1"/>
    </xf>
    <xf numFmtId="0" fontId="5" fillId="0" borderId="38" xfId="4" applyFont="1" applyFill="1" applyBorder="1" applyAlignment="1">
      <alignment horizontal="left" vertical="center" wrapText="1"/>
    </xf>
    <xf numFmtId="0" fontId="5" fillId="0" borderId="44" xfId="1" applyFont="1" applyFill="1" applyBorder="1" applyAlignment="1">
      <alignment horizontal="left" vertical="center" wrapText="1"/>
    </xf>
    <xf numFmtId="49" fontId="5" fillId="0" borderId="39" xfId="1" applyNumberFormat="1" applyFont="1" applyFill="1" applyBorder="1" applyAlignment="1">
      <alignment horizontal="left" vertical="center" wrapText="1"/>
    </xf>
    <xf numFmtId="0" fontId="7" fillId="0" borderId="44" xfId="1" applyFont="1" applyFill="1" applyBorder="1" applyAlignment="1">
      <alignment horizontal="left" vertical="center" wrapText="1"/>
    </xf>
    <xf numFmtId="0" fontId="5" fillId="0" borderId="45" xfId="1" applyFont="1" applyFill="1" applyBorder="1" applyAlignment="1">
      <alignment horizontal="left" vertical="center" wrapText="1"/>
    </xf>
    <xf numFmtId="49" fontId="7" fillId="0" borderId="46" xfId="1" applyNumberFormat="1" applyFont="1" applyFill="1" applyBorder="1" applyAlignment="1">
      <alignment horizontal="left" vertical="center" wrapText="1"/>
    </xf>
    <xf numFmtId="0" fontId="7" fillId="0" borderId="40" xfId="1" applyFont="1" applyFill="1" applyBorder="1" applyAlignment="1">
      <alignment horizontal="left" vertical="center" wrapText="1"/>
    </xf>
    <xf numFmtId="0" fontId="7" fillId="0" borderId="36" xfId="1" applyFont="1" applyFill="1" applyBorder="1" applyAlignment="1">
      <alignment horizontal="left" vertical="center" wrapText="1"/>
    </xf>
    <xf numFmtId="49" fontId="7" fillId="0" borderId="43" xfId="1" applyNumberFormat="1" applyFont="1" applyFill="1" applyBorder="1" applyAlignment="1" applyProtection="1">
      <alignment horizontal="left" vertical="center" wrapText="1"/>
      <protection locked="0"/>
    </xf>
    <xf numFmtId="49" fontId="7" fillId="0" borderId="39" xfId="1" applyNumberFormat="1" applyFont="1" applyFill="1" applyBorder="1" applyAlignment="1" applyProtection="1">
      <alignment horizontal="left" vertical="center" wrapText="1"/>
      <protection locked="0"/>
    </xf>
    <xf numFmtId="0" fontId="5" fillId="0" borderId="52" xfId="1" applyFont="1" applyFill="1" applyBorder="1" applyAlignment="1">
      <alignment horizontal="left" vertical="center" wrapText="1"/>
    </xf>
    <xf numFmtId="49" fontId="7" fillId="0" borderId="53" xfId="1" applyNumberFormat="1" applyFont="1" applyFill="1" applyBorder="1" applyAlignment="1">
      <alignment horizontal="left" vertical="center" wrapText="1"/>
    </xf>
    <xf numFmtId="0" fontId="7" fillId="0" borderId="42" xfId="1" applyFont="1" applyFill="1" applyBorder="1" applyAlignment="1">
      <alignment horizontal="left" vertical="center" wrapText="1"/>
    </xf>
    <xf numFmtId="49" fontId="7" fillId="0" borderId="43" xfId="1" applyNumberFormat="1" applyFont="1" applyFill="1" applyBorder="1" applyAlignment="1">
      <alignment horizontal="left" vertical="center" wrapText="1"/>
    </xf>
    <xf numFmtId="49" fontId="7" fillId="2" borderId="43" xfId="1" applyNumberFormat="1" applyFont="1" applyFill="1" applyBorder="1" applyAlignment="1">
      <alignment horizontal="left" vertical="center" wrapText="1"/>
    </xf>
    <xf numFmtId="0" fontId="7" fillId="0" borderId="38" xfId="4" applyFont="1" applyFill="1" applyBorder="1" applyAlignment="1">
      <alignment horizontal="left" vertical="center" wrapText="1"/>
    </xf>
    <xf numFmtId="164" fontId="5" fillId="0" borderId="12"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xf numFmtId="0" fontId="6" fillId="0" borderId="0" xfId="1" applyFont="1" applyFill="1" applyBorder="1" applyAlignment="1">
      <alignment vertical="center" wrapText="1"/>
    </xf>
    <xf numFmtId="164" fontId="7" fillId="0" borderId="13" xfId="1" applyNumberFormat="1" applyFont="1" applyFill="1" applyBorder="1" applyAlignment="1">
      <alignment horizontal="center" vertical="center" wrapText="1"/>
    </xf>
    <xf numFmtId="164" fontId="5" fillId="0" borderId="13" xfId="1" applyNumberFormat="1" applyFont="1" applyBorder="1" applyAlignment="1">
      <alignment horizontal="center" vertical="center" wrapText="1"/>
    </xf>
    <xf numFmtId="164" fontId="7" fillId="0" borderId="13" xfId="1" applyNumberFormat="1" applyFont="1" applyBorder="1" applyAlignment="1">
      <alignment horizontal="center" vertical="center" wrapText="1"/>
    </xf>
    <xf numFmtId="164" fontId="7" fillId="2" borderId="13" xfId="1" applyNumberFormat="1" applyFont="1" applyFill="1" applyBorder="1" applyAlignment="1">
      <alignment horizontal="center" vertical="center" wrapText="1"/>
    </xf>
    <xf numFmtId="164" fontId="6" fillId="0" borderId="13" xfId="1" applyNumberFormat="1" applyFont="1" applyFill="1" applyBorder="1" applyAlignment="1">
      <alignment horizontal="center" vertical="center" wrapText="1"/>
    </xf>
    <xf numFmtId="164" fontId="6" fillId="0" borderId="13" xfId="1" applyNumberFormat="1" applyFont="1" applyBorder="1" applyAlignment="1">
      <alignment horizontal="center" vertical="center" wrapText="1"/>
    </xf>
    <xf numFmtId="164" fontId="5" fillId="0" borderId="17" xfId="1" applyNumberFormat="1" applyFont="1" applyFill="1" applyBorder="1" applyAlignment="1">
      <alignment horizontal="center" vertical="center" wrapText="1"/>
    </xf>
    <xf numFmtId="164" fontId="5" fillId="0" borderId="14" xfId="1" applyNumberFormat="1" applyFont="1" applyBorder="1" applyAlignment="1">
      <alignment horizontal="center" vertical="center" wrapText="1"/>
    </xf>
    <xf numFmtId="164" fontId="7" fillId="0" borderId="14" xfId="1" applyNumberFormat="1" applyFont="1" applyBorder="1" applyAlignment="1">
      <alignment horizontal="center" vertical="center" wrapText="1"/>
    </xf>
    <xf numFmtId="164" fontId="12" fillId="3" borderId="4" xfId="1" applyNumberFormat="1" applyFont="1" applyFill="1" applyBorder="1" applyAlignment="1">
      <alignment horizontal="center" vertical="center" wrapText="1"/>
    </xf>
    <xf numFmtId="49" fontId="15" fillId="3" borderId="35" xfId="1" applyNumberFormat="1" applyFont="1" applyFill="1" applyBorder="1" applyAlignment="1">
      <alignment horizontal="center" vertical="center" wrapText="1"/>
    </xf>
    <xf numFmtId="0" fontId="9" fillId="0" borderId="0" xfId="1" applyFont="1" applyFill="1" applyBorder="1" applyAlignment="1">
      <alignment vertical="center" wrapText="1"/>
    </xf>
    <xf numFmtId="164" fontId="5" fillId="0" borderId="15" xfId="1" applyNumberFormat="1" applyFont="1" applyBorder="1" applyAlignment="1">
      <alignment horizontal="center" vertical="center" wrapText="1"/>
    </xf>
    <xf numFmtId="164" fontId="7" fillId="0" borderId="15" xfId="1" applyNumberFormat="1" applyFont="1" applyBorder="1" applyAlignment="1">
      <alignment horizontal="center" vertical="center" wrapText="1"/>
    </xf>
    <xf numFmtId="164" fontId="7" fillId="0" borderId="16" xfId="1" applyNumberFormat="1" applyFont="1" applyBorder="1" applyAlignment="1">
      <alignment horizontal="center" vertical="center" wrapText="1"/>
    </xf>
    <xf numFmtId="164" fontId="5" fillId="0" borderId="16" xfId="1" applyNumberFormat="1" applyFont="1" applyBorder="1" applyAlignment="1">
      <alignment horizontal="center" vertical="center" wrapText="1"/>
    </xf>
    <xf numFmtId="164" fontId="5" fillId="0" borderId="16" xfId="1" applyNumberFormat="1" applyFont="1" applyFill="1" applyBorder="1" applyAlignment="1">
      <alignment horizontal="center" vertical="center" wrapText="1"/>
    </xf>
    <xf numFmtId="164" fontId="5" fillId="0" borderId="25" xfId="1" applyNumberFormat="1" applyFont="1" applyFill="1" applyBorder="1" applyAlignment="1">
      <alignment horizontal="center" vertical="center" wrapText="1"/>
    </xf>
    <xf numFmtId="164" fontId="5" fillId="0" borderId="25" xfId="1" applyNumberFormat="1" applyFont="1" applyBorder="1" applyAlignment="1">
      <alignment horizontal="center" vertical="center" wrapText="1"/>
    </xf>
    <xf numFmtId="164" fontId="7" fillId="0" borderId="25" xfId="1" applyNumberFormat="1" applyFont="1" applyBorder="1" applyAlignment="1">
      <alignment horizontal="center" vertical="center" wrapText="1"/>
    </xf>
    <xf numFmtId="164" fontId="12" fillId="3" borderId="24" xfId="1" applyNumberFormat="1" applyFont="1" applyFill="1" applyBorder="1" applyAlignment="1">
      <alignment horizontal="center" vertical="center" wrapText="1"/>
    </xf>
    <xf numFmtId="49" fontId="15" fillId="3" borderId="48" xfId="1" applyNumberFormat="1" applyFont="1" applyFill="1" applyBorder="1" applyAlignment="1">
      <alignment horizontal="center" vertical="center" wrapText="1"/>
    </xf>
    <xf numFmtId="164" fontId="5" fillId="0" borderId="12" xfId="1" applyNumberFormat="1" applyFont="1" applyBorder="1" applyAlignment="1">
      <alignment horizontal="center" vertical="center" wrapText="1"/>
    </xf>
    <xf numFmtId="164" fontId="7" fillId="0" borderId="12" xfId="1" applyNumberFormat="1" applyFont="1" applyBorder="1" applyAlignment="1">
      <alignment horizontal="center" vertical="center" wrapText="1"/>
    </xf>
    <xf numFmtId="164" fontId="7" fillId="2" borderId="12" xfId="1" applyNumberFormat="1" applyFont="1" applyFill="1" applyBorder="1" applyAlignment="1">
      <alignment horizontal="center" vertical="center" wrapText="1"/>
    </xf>
    <xf numFmtId="164" fontId="5" fillId="2" borderId="13" xfId="1" applyNumberFormat="1" applyFont="1" applyFill="1" applyBorder="1" applyAlignment="1">
      <alignment horizontal="center" vertical="center" wrapText="1"/>
    </xf>
    <xf numFmtId="164" fontId="7" fillId="0" borderId="12" xfId="1" applyNumberFormat="1" applyFont="1" applyFill="1" applyBorder="1" applyAlignment="1">
      <alignment horizontal="center" vertical="center" wrapText="1"/>
    </xf>
    <xf numFmtId="164" fontId="16" fillId="0" borderId="13" xfId="1" applyNumberFormat="1" applyFont="1" applyFill="1" applyBorder="1" applyAlignment="1">
      <alignment horizontal="center" vertical="center" wrapText="1"/>
    </xf>
    <xf numFmtId="43" fontId="7" fillId="0" borderId="13" xfId="11" applyFont="1" applyBorder="1" applyAlignment="1">
      <alignment horizontal="center" vertical="center" wrapText="1"/>
    </xf>
    <xf numFmtId="164" fontId="12" fillId="3" borderId="10" xfId="1" applyNumberFormat="1" applyFont="1" applyFill="1" applyBorder="1" applyAlignment="1">
      <alignment horizontal="center" vertical="center" wrapText="1"/>
    </xf>
    <xf numFmtId="49" fontId="15" fillId="3" borderId="49" xfId="1" applyNumberFormat="1" applyFont="1" applyFill="1" applyBorder="1" applyAlignment="1">
      <alignment horizontal="center" vertical="center" wrapText="1"/>
    </xf>
    <xf numFmtId="164" fontId="5" fillId="0" borderId="19" xfId="1" applyNumberFormat="1" applyFont="1" applyBorder="1" applyAlignment="1">
      <alignment horizontal="center" vertical="center" wrapText="1"/>
    </xf>
    <xf numFmtId="164" fontId="7" fillId="0" borderId="19" xfId="1" applyNumberFormat="1" applyFont="1" applyBorder="1" applyAlignment="1">
      <alignment horizontal="center" vertical="center" wrapText="1"/>
    </xf>
    <xf numFmtId="164" fontId="7" fillId="2" borderId="13" xfId="1" applyNumberFormat="1" applyFont="1" applyFill="1" applyBorder="1" applyAlignment="1">
      <alignment vertical="center" wrapText="1"/>
    </xf>
    <xf numFmtId="164" fontId="7" fillId="0" borderId="13" xfId="1" applyNumberFormat="1" applyFont="1" applyFill="1" applyBorder="1" applyAlignment="1">
      <alignment vertical="center" wrapText="1"/>
    </xf>
    <xf numFmtId="164" fontId="7" fillId="2" borderId="17" xfId="1" applyNumberFormat="1" applyFont="1" applyFill="1" applyBorder="1" applyAlignment="1">
      <alignment horizontal="center" vertical="center" wrapText="1"/>
    </xf>
    <xf numFmtId="164" fontId="7" fillId="0" borderId="17" xfId="1" applyNumberFormat="1" applyFont="1" applyBorder="1" applyAlignment="1">
      <alignment horizontal="center" vertical="center" wrapText="1"/>
    </xf>
    <xf numFmtId="164" fontId="5" fillId="0" borderId="17" xfId="1" applyNumberFormat="1" applyFont="1" applyBorder="1" applyAlignment="1">
      <alignment horizontal="center" vertical="center" wrapText="1"/>
    </xf>
    <xf numFmtId="164" fontId="5" fillId="2" borderId="14" xfId="1" applyNumberFormat="1" applyFont="1" applyFill="1" applyBorder="1" applyAlignment="1">
      <alignment horizontal="center" vertical="center" wrapText="1"/>
    </xf>
    <xf numFmtId="164" fontId="5" fillId="0" borderId="14" xfId="1" applyNumberFormat="1" applyFont="1" applyFill="1" applyBorder="1" applyAlignment="1">
      <alignment horizontal="center" vertical="center" wrapText="1"/>
    </xf>
    <xf numFmtId="164" fontId="7" fillId="0" borderId="14" xfId="1" applyNumberFormat="1" applyFont="1" applyFill="1" applyBorder="1" applyAlignment="1">
      <alignment horizontal="center" vertical="center" wrapText="1"/>
    </xf>
    <xf numFmtId="164" fontId="7" fillId="2" borderId="19" xfId="1" applyNumberFormat="1" applyFont="1" applyFill="1" applyBorder="1" applyAlignment="1">
      <alignment horizontal="center" vertical="center" wrapText="1"/>
    </xf>
    <xf numFmtId="164" fontId="7" fillId="0" borderId="19" xfId="1" applyNumberFormat="1" applyFont="1" applyFill="1" applyBorder="1" applyAlignment="1">
      <alignment horizontal="center" vertical="center" wrapText="1"/>
    </xf>
    <xf numFmtId="164" fontId="7" fillId="0" borderId="17" xfId="1" applyNumberFormat="1" applyFont="1" applyFill="1" applyBorder="1" applyAlignment="1">
      <alignment horizontal="center" vertical="center" wrapText="1"/>
    </xf>
    <xf numFmtId="164" fontId="5" fillId="0" borderId="55" xfId="1" applyNumberFormat="1" applyFont="1" applyFill="1" applyBorder="1" applyAlignment="1">
      <alignment horizontal="center" vertical="center" wrapText="1"/>
    </xf>
    <xf numFmtId="164" fontId="5" fillId="0" borderId="55" xfId="1" applyNumberFormat="1" applyFont="1" applyBorder="1" applyAlignment="1">
      <alignment horizontal="center" vertical="center" wrapText="1"/>
    </xf>
    <xf numFmtId="164" fontId="7" fillId="0" borderId="55" xfId="1" applyNumberFormat="1" applyFont="1" applyBorder="1" applyAlignment="1">
      <alignment horizontal="center" vertical="center" wrapText="1"/>
    </xf>
    <xf numFmtId="164" fontId="5" fillId="0" borderId="19" xfId="1" applyNumberFormat="1" applyFont="1" applyFill="1" applyBorder="1" applyAlignment="1">
      <alignment horizontal="center" vertical="center" wrapText="1"/>
    </xf>
    <xf numFmtId="164" fontId="5" fillId="0" borderId="19" xfId="1" applyNumberFormat="1" applyFont="1" applyBorder="1" applyAlignment="1">
      <alignment horizontal="center" vertical="center" wrapText="1"/>
    </xf>
    <xf numFmtId="0" fontId="7" fillId="0" borderId="42" xfId="1" applyFont="1" applyFill="1" applyBorder="1" applyAlignment="1">
      <alignment horizontal="left" vertical="center" wrapText="1"/>
    </xf>
    <xf numFmtId="49" fontId="7" fillId="0" borderId="43" xfId="1" applyNumberFormat="1" applyFont="1" applyFill="1" applyBorder="1" applyAlignment="1">
      <alignment horizontal="left" vertical="center" wrapText="1"/>
    </xf>
    <xf numFmtId="164" fontId="7" fillId="0" borderId="13" xfId="1" applyNumberFormat="1" applyFont="1" applyBorder="1" applyAlignment="1">
      <alignment horizontal="center" vertical="center"/>
    </xf>
    <xf numFmtId="164" fontId="7" fillId="0" borderId="14" xfId="1" applyNumberFormat="1" applyFont="1" applyBorder="1" applyAlignment="1">
      <alignment horizontal="center" vertical="center"/>
    </xf>
    <xf numFmtId="164" fontId="7" fillId="0" borderId="15" xfId="1" applyNumberFormat="1" applyFont="1" applyBorder="1" applyAlignment="1">
      <alignment horizontal="center" vertical="center"/>
    </xf>
    <xf numFmtId="164" fontId="7" fillId="0" borderId="16" xfId="1" quotePrefix="1" applyNumberFormat="1" applyFont="1" applyBorder="1" applyAlignment="1">
      <alignment horizontal="center" vertical="center"/>
    </xf>
    <xf numFmtId="164" fontId="7" fillId="2" borderId="16" xfId="1" applyNumberFormat="1" applyFont="1" applyFill="1" applyBorder="1" applyAlignment="1">
      <alignment horizontal="center" vertical="center"/>
    </xf>
    <xf numFmtId="164" fontId="7" fillId="0" borderId="57" xfId="1" applyNumberFormat="1" applyFont="1" applyBorder="1" applyAlignment="1">
      <alignment horizontal="center" vertical="center"/>
    </xf>
    <xf numFmtId="43" fontId="7" fillId="0" borderId="13" xfId="11" applyFont="1" applyFill="1" applyBorder="1" applyAlignment="1">
      <alignment horizontal="center" vertical="center"/>
    </xf>
    <xf numFmtId="43" fontId="7" fillId="0" borderId="17" xfId="11" applyFont="1" applyFill="1" applyBorder="1" applyAlignment="1">
      <alignment horizontal="center" vertical="center"/>
    </xf>
    <xf numFmtId="164" fontId="7" fillId="2" borderId="14" xfId="1" applyNumberFormat="1" applyFont="1" applyFill="1" applyBorder="1" applyAlignment="1">
      <alignment horizontal="center" vertical="center"/>
    </xf>
    <xf numFmtId="164" fontId="7" fillId="2" borderId="19" xfId="1" applyNumberFormat="1" applyFont="1" applyFill="1" applyBorder="1" applyAlignment="1">
      <alignment horizontal="center" vertical="center"/>
    </xf>
    <xf numFmtId="43" fontId="10" fillId="0" borderId="13" xfId="11" applyFont="1" applyFill="1" applyBorder="1" applyAlignment="1">
      <alignment horizontal="center" vertical="center"/>
    </xf>
    <xf numFmtId="164" fontId="7" fillId="0" borderId="13" xfId="1" applyNumberFormat="1" applyFont="1" applyBorder="1" applyAlignment="1">
      <alignment horizontal="center" vertical="center"/>
    </xf>
    <xf numFmtId="0" fontId="7" fillId="0" borderId="0" xfId="1" applyFont="1" applyFill="1" applyBorder="1" applyAlignment="1">
      <alignment horizontal="left" vertical="center" wrapText="1"/>
    </xf>
    <xf numFmtId="49" fontId="7" fillId="0" borderId="41" xfId="1" applyNumberFormat="1" applyFont="1" applyFill="1" applyBorder="1" applyAlignment="1">
      <alignment horizontal="left" vertical="center" wrapText="1"/>
    </xf>
    <xf numFmtId="164" fontId="7" fillId="0" borderId="17" xfId="1" applyNumberFormat="1" applyFont="1" applyBorder="1" applyAlignment="1">
      <alignment horizontal="center" vertical="center"/>
    </xf>
    <xf numFmtId="164" fontId="7" fillId="0" borderId="19" xfId="1" applyNumberFormat="1" applyFont="1" applyBorder="1" applyAlignment="1">
      <alignment horizontal="center" vertical="center"/>
    </xf>
    <xf numFmtId="164" fontId="7" fillId="0" borderId="16" xfId="1" applyNumberFormat="1" applyFont="1" applyBorder="1" applyAlignment="1">
      <alignment horizontal="center" vertical="center"/>
    </xf>
    <xf numFmtId="164" fontId="7" fillId="0" borderId="13" xfId="1" applyNumberFormat="1" applyFont="1" applyBorder="1" applyAlignment="1">
      <alignment horizontal="center" vertical="center"/>
    </xf>
    <xf numFmtId="164" fontId="7" fillId="0" borderId="12" xfId="1" applyNumberFormat="1" applyFont="1" applyBorder="1" applyAlignment="1">
      <alignment horizontal="center" vertical="center"/>
    </xf>
    <xf numFmtId="164" fontId="7" fillId="2" borderId="13" xfId="1" applyNumberFormat="1" applyFont="1" applyFill="1" applyBorder="1" applyAlignment="1">
      <alignment horizontal="center" vertical="center"/>
    </xf>
    <xf numFmtId="164" fontId="7" fillId="2" borderId="12" xfId="1" applyNumberFormat="1" applyFont="1" applyFill="1" applyBorder="1" applyAlignment="1">
      <alignment horizontal="center" vertical="center"/>
    </xf>
    <xf numFmtId="43" fontId="6" fillId="0" borderId="17" xfId="11" applyFont="1" applyFill="1" applyBorder="1" applyAlignment="1">
      <alignment horizontal="center" vertical="center"/>
    </xf>
    <xf numFmtId="49" fontId="7" fillId="0" borderId="43" xfId="1" applyNumberFormat="1" applyFont="1" applyFill="1" applyBorder="1" applyAlignment="1">
      <alignment horizontal="left" vertical="center" wrapText="1"/>
    </xf>
    <xf numFmtId="0" fontId="7" fillId="0" borderId="42" xfId="1" applyFont="1" applyFill="1" applyBorder="1" applyAlignment="1">
      <alignment horizontal="left" vertical="center" wrapText="1"/>
    </xf>
    <xf numFmtId="164" fontId="5" fillId="0" borderId="19" xfId="1" applyNumberFormat="1" applyFont="1" applyFill="1" applyBorder="1" applyAlignment="1">
      <alignment horizontal="center" vertical="center" wrapText="1"/>
    </xf>
    <xf numFmtId="164" fontId="5" fillId="0" borderId="19" xfId="1" applyNumberFormat="1" applyFont="1" applyBorder="1" applyAlignment="1">
      <alignment horizontal="center" vertical="center" wrapText="1"/>
    </xf>
    <xf numFmtId="164" fontId="7" fillId="0" borderId="17" xfId="1" applyNumberFormat="1" applyFont="1" applyBorder="1" applyAlignment="1">
      <alignment horizontal="center" vertical="center"/>
    </xf>
    <xf numFmtId="164" fontId="7" fillId="0" borderId="19" xfId="1" applyNumberFormat="1" applyFont="1" applyBorder="1" applyAlignment="1">
      <alignment horizontal="center" vertical="center"/>
    </xf>
    <xf numFmtId="164" fontId="7" fillId="0" borderId="16" xfId="1" applyNumberFormat="1" applyFont="1" applyBorder="1" applyAlignment="1">
      <alignment horizontal="center" vertical="center"/>
    </xf>
    <xf numFmtId="164" fontId="7" fillId="0" borderId="13" xfId="1" applyNumberFormat="1" applyFont="1" applyBorder="1" applyAlignment="1">
      <alignment horizontal="center" vertical="center"/>
    </xf>
    <xf numFmtId="164" fontId="7" fillId="0" borderId="19" xfId="1" applyNumberFormat="1" applyFont="1" applyFill="1" applyBorder="1" applyAlignment="1">
      <alignment horizontal="center" vertical="center" wrapText="1"/>
    </xf>
    <xf numFmtId="164" fontId="7" fillId="2" borderId="19" xfId="1" applyNumberFormat="1" applyFont="1" applyFill="1" applyBorder="1" applyAlignment="1">
      <alignment horizontal="center" vertical="center" wrapText="1"/>
    </xf>
    <xf numFmtId="165" fontId="7" fillId="0" borderId="17" xfId="1" applyNumberFormat="1" applyFont="1" applyBorder="1" applyAlignment="1">
      <alignment horizontal="center" vertical="center" wrapText="1"/>
    </xf>
    <xf numFmtId="164" fontId="7" fillId="0" borderId="16" xfId="1" applyNumberFormat="1" applyFont="1" applyBorder="1" applyAlignment="1">
      <alignment horizontal="center" vertical="center" wrapText="1"/>
    </xf>
    <xf numFmtId="165" fontId="7" fillId="2" borderId="19" xfId="1" applyNumberFormat="1" applyFont="1" applyFill="1" applyBorder="1" applyAlignment="1">
      <alignment horizontal="center" vertical="center" wrapText="1"/>
    </xf>
    <xf numFmtId="164" fontId="7" fillId="0" borderId="16" xfId="1" applyNumberFormat="1" applyFont="1" applyFill="1" applyBorder="1" applyAlignment="1">
      <alignment horizontal="center" vertical="center" wrapText="1"/>
    </xf>
    <xf numFmtId="0" fontId="7" fillId="0" borderId="58" xfId="4" applyFont="1" applyBorder="1" applyAlignment="1">
      <alignment horizontal="left" vertical="center" wrapText="1"/>
    </xf>
    <xf numFmtId="0" fontId="7" fillId="0" borderId="0" xfId="1" applyFont="1" applyFill="1" applyBorder="1" applyAlignment="1">
      <alignment horizontal="left" vertical="center" wrapText="1"/>
    </xf>
    <xf numFmtId="0" fontId="12" fillId="3" borderId="34" xfId="1" applyFont="1" applyFill="1" applyBorder="1" applyAlignment="1">
      <alignment horizontal="left" vertical="center" wrapText="1"/>
    </xf>
    <xf numFmtId="0" fontId="12" fillId="3" borderId="2" xfId="1" applyFont="1" applyFill="1" applyBorder="1" applyAlignment="1">
      <alignment horizontal="left" vertical="center" wrapText="1"/>
    </xf>
    <xf numFmtId="0" fontId="12" fillId="3" borderId="1" xfId="1" applyFont="1" applyFill="1" applyBorder="1" applyAlignment="1">
      <alignment horizontal="left" vertical="center" wrapText="1"/>
    </xf>
    <xf numFmtId="49" fontId="7" fillId="0" borderId="41" xfId="1" applyNumberFormat="1" applyFont="1" applyFill="1" applyBorder="1" applyAlignment="1">
      <alignment horizontal="left" vertical="center" wrapText="1"/>
    </xf>
    <xf numFmtId="49" fontId="7" fillId="0" borderId="43" xfId="1" applyNumberFormat="1" applyFont="1" applyFill="1" applyBorder="1" applyAlignment="1">
      <alignment horizontal="left" vertical="center" wrapText="1"/>
    </xf>
    <xf numFmtId="165" fontId="5" fillId="0" borderId="17" xfId="1" applyNumberFormat="1" applyFont="1" applyFill="1" applyBorder="1" applyAlignment="1">
      <alignment horizontal="center" vertical="center" wrapText="1"/>
    </xf>
    <xf numFmtId="165" fontId="5" fillId="0" borderId="19" xfId="1" applyNumberFormat="1" applyFont="1" applyFill="1" applyBorder="1" applyAlignment="1">
      <alignment horizontal="center" vertical="center" wrapText="1"/>
    </xf>
    <xf numFmtId="0" fontId="7" fillId="0" borderId="40" xfId="1" applyFont="1" applyFill="1" applyBorder="1" applyAlignment="1">
      <alignment horizontal="left" vertical="center" wrapText="1"/>
    </xf>
    <xf numFmtId="0" fontId="7" fillId="0" borderId="42" xfId="1" applyFont="1" applyFill="1" applyBorder="1" applyAlignment="1">
      <alignment horizontal="left" vertical="center" wrapText="1"/>
    </xf>
    <xf numFmtId="164" fontId="5" fillId="0" borderId="17" xfId="1" applyNumberFormat="1" applyFont="1" applyFill="1" applyBorder="1" applyAlignment="1">
      <alignment horizontal="center" vertical="center" wrapText="1"/>
    </xf>
    <xf numFmtId="164" fontId="5" fillId="0" borderId="19" xfId="1" applyNumberFormat="1" applyFont="1" applyFill="1" applyBorder="1" applyAlignment="1">
      <alignment horizontal="center" vertical="center" wrapText="1"/>
    </xf>
    <xf numFmtId="164" fontId="5" fillId="0" borderId="17" xfId="1" applyNumberFormat="1" applyFont="1" applyBorder="1" applyAlignment="1">
      <alignment horizontal="center" vertical="center" wrapText="1"/>
    </xf>
    <xf numFmtId="164" fontId="5" fillId="0" borderId="19" xfId="1" applyNumberFormat="1" applyFont="1" applyBorder="1" applyAlignment="1">
      <alignment horizontal="center" vertical="center" wrapText="1"/>
    </xf>
    <xf numFmtId="164" fontId="7" fillId="0" borderId="17" xfId="1" applyNumberFormat="1" applyFont="1" applyBorder="1" applyAlignment="1">
      <alignment horizontal="center" vertical="center"/>
    </xf>
    <xf numFmtId="164" fontId="7" fillId="0" borderId="19" xfId="1" applyNumberFormat="1" applyFont="1" applyBorder="1" applyAlignment="1">
      <alignment horizontal="center" vertical="center"/>
    </xf>
    <xf numFmtId="0" fontId="5" fillId="0" borderId="38" xfId="1" applyFont="1" applyFill="1" applyBorder="1" applyAlignment="1">
      <alignment horizontal="left" vertical="center" wrapText="1"/>
    </xf>
    <xf numFmtId="0" fontId="5" fillId="0" borderId="40" xfId="1" applyFont="1" applyFill="1" applyBorder="1" applyAlignment="1">
      <alignment horizontal="left" vertical="center" wrapText="1"/>
    </xf>
    <xf numFmtId="165" fontId="7" fillId="0" borderId="17" xfId="1" applyNumberFormat="1" applyFont="1" applyFill="1" applyBorder="1" applyAlignment="1">
      <alignment horizontal="center" vertical="center" wrapText="1"/>
    </xf>
    <xf numFmtId="165" fontId="7" fillId="0" borderId="18"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xf numFmtId="164" fontId="7" fillId="0" borderId="16" xfId="1" applyNumberFormat="1" applyFont="1" applyBorder="1" applyAlignment="1">
      <alignment horizontal="center" vertical="center"/>
    </xf>
    <xf numFmtId="164" fontId="7" fillId="0" borderId="20" xfId="1" quotePrefix="1" applyNumberFormat="1" applyFont="1" applyBorder="1" applyAlignment="1">
      <alignment horizontal="center" vertical="center"/>
    </xf>
    <xf numFmtId="164" fontId="7" fillId="0" borderId="21" xfId="1" quotePrefix="1" applyNumberFormat="1" applyFont="1" applyBorder="1" applyAlignment="1">
      <alignment horizontal="center" vertical="center"/>
    </xf>
    <xf numFmtId="0" fontId="12" fillId="3" borderId="47" xfId="1" applyFont="1" applyFill="1" applyBorder="1" applyAlignment="1">
      <alignment horizontal="left" vertical="center" wrapText="1"/>
    </xf>
    <xf numFmtId="0" fontId="12" fillId="3" borderId="0" xfId="1" applyFont="1" applyFill="1" applyBorder="1" applyAlignment="1">
      <alignment horizontal="left" vertical="center" wrapText="1"/>
    </xf>
    <xf numFmtId="0" fontId="12" fillId="3" borderId="23" xfId="1" applyFont="1" applyFill="1" applyBorder="1" applyAlignment="1">
      <alignment horizontal="left" vertical="center" wrapText="1"/>
    </xf>
    <xf numFmtId="164" fontId="7" fillId="0" borderId="13" xfId="1" applyNumberFormat="1" applyFont="1" applyFill="1" applyBorder="1" applyAlignment="1">
      <alignment horizontal="center" vertical="center" wrapText="1"/>
    </xf>
    <xf numFmtId="164" fontId="7" fillId="0" borderId="13" xfId="1" applyNumberFormat="1" applyFont="1" applyBorder="1" applyAlignment="1">
      <alignment horizontal="center" vertical="center"/>
    </xf>
    <xf numFmtId="164" fontId="7" fillId="0" borderId="12" xfId="1" applyNumberFormat="1" applyFont="1" applyBorder="1" applyAlignment="1">
      <alignment horizontal="center" vertical="center"/>
    </xf>
    <xf numFmtId="164" fontId="7" fillId="0" borderId="22" xfId="1" applyNumberFormat="1" applyFont="1" applyBorder="1" applyAlignment="1">
      <alignment horizontal="center" vertical="center"/>
    </xf>
    <xf numFmtId="164" fontId="7" fillId="0" borderId="12" xfId="1" applyNumberFormat="1" applyFont="1" applyBorder="1" applyAlignment="1">
      <alignment horizontal="center" vertical="center" wrapText="1"/>
    </xf>
    <xf numFmtId="164" fontId="7" fillId="0" borderId="13" xfId="1" applyNumberFormat="1" applyFont="1" applyBorder="1" applyAlignment="1">
      <alignment horizontal="center" vertical="center" wrapText="1"/>
    </xf>
    <xf numFmtId="164" fontId="7" fillId="0" borderId="17" xfId="1" applyNumberFormat="1" applyFont="1" applyBorder="1" applyAlignment="1">
      <alignment horizontal="center" vertical="center" wrapText="1"/>
    </xf>
    <xf numFmtId="164" fontId="7" fillId="0" borderId="19" xfId="1" applyNumberFormat="1" applyFont="1" applyBorder="1" applyAlignment="1">
      <alignment horizontal="center" vertical="center" wrapText="1"/>
    </xf>
    <xf numFmtId="165" fontId="14" fillId="0" borderId="12" xfId="1" applyNumberFormat="1" applyFont="1" applyFill="1" applyBorder="1" applyAlignment="1">
      <alignment horizontal="center" vertical="center" wrapText="1"/>
    </xf>
    <xf numFmtId="165" fontId="14" fillId="0" borderId="13" xfId="1" applyNumberFormat="1" applyFont="1" applyFill="1" applyBorder="1" applyAlignment="1">
      <alignment horizontal="center" vertical="center" wrapText="1"/>
    </xf>
    <xf numFmtId="165" fontId="5" fillId="0" borderId="13" xfId="1" applyNumberFormat="1" applyFont="1" applyFill="1" applyBorder="1" applyAlignment="1">
      <alignment horizontal="center" vertical="center" wrapText="1"/>
    </xf>
    <xf numFmtId="164" fontId="7" fillId="2" borderId="13" xfId="1" applyNumberFormat="1" applyFont="1" applyFill="1" applyBorder="1" applyAlignment="1">
      <alignment horizontal="center" vertical="center"/>
    </xf>
    <xf numFmtId="164" fontId="5" fillId="0" borderId="12" xfId="1" applyNumberFormat="1" applyFont="1" applyFill="1" applyBorder="1" applyAlignment="1">
      <alignment horizontal="center" vertical="center" wrapText="1"/>
    </xf>
    <xf numFmtId="164" fontId="7" fillId="2" borderId="12" xfId="1" applyNumberFormat="1" applyFont="1" applyFill="1" applyBorder="1" applyAlignment="1">
      <alignment horizontal="center" vertical="center"/>
    </xf>
    <xf numFmtId="165" fontId="7" fillId="0" borderId="19" xfId="1" applyNumberFormat="1" applyFont="1" applyFill="1" applyBorder="1" applyAlignment="1">
      <alignment horizontal="center" vertical="center" wrapText="1"/>
    </xf>
    <xf numFmtId="164" fontId="7" fillId="0" borderId="17" xfId="1" applyNumberFormat="1" applyFont="1" applyFill="1" applyBorder="1" applyAlignment="1">
      <alignment horizontal="center" vertical="center" wrapText="1"/>
    </xf>
    <xf numFmtId="164" fontId="7" fillId="0" borderId="19"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164" fontId="7" fillId="2" borderId="18" xfId="1" applyNumberFormat="1" applyFont="1" applyFill="1" applyBorder="1" applyAlignment="1">
      <alignment horizontal="center" vertical="center" wrapText="1"/>
    </xf>
    <xf numFmtId="164" fontId="7" fillId="2" borderId="19" xfId="1" applyNumberFormat="1" applyFont="1" applyFill="1" applyBorder="1" applyAlignment="1">
      <alignment horizontal="center" vertical="center" wrapText="1"/>
    </xf>
    <xf numFmtId="0" fontId="5" fillId="2" borderId="36"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7" fillId="0" borderId="38" xfId="1" applyFont="1" applyFill="1" applyBorder="1" applyAlignment="1">
      <alignment horizontal="left" vertical="center" wrapText="1"/>
    </xf>
    <xf numFmtId="0" fontId="12" fillId="4" borderId="30" xfId="1" applyNumberFormat="1" applyFont="1" applyFill="1" applyBorder="1" applyAlignment="1">
      <alignment horizontal="center" vertical="center" wrapText="1"/>
    </xf>
    <xf numFmtId="0" fontId="12" fillId="4" borderId="28" xfId="1" applyNumberFormat="1" applyFont="1" applyFill="1" applyBorder="1" applyAlignment="1">
      <alignment horizontal="center" vertical="center" wrapText="1"/>
    </xf>
    <xf numFmtId="0" fontId="12" fillId="4" borderId="5"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0" fontId="17" fillId="4" borderId="27" xfId="1" applyNumberFormat="1" applyFont="1" applyFill="1" applyBorder="1" applyAlignment="1">
      <alignment horizontal="center" vertical="center" textRotation="90" wrapText="1"/>
    </xf>
    <xf numFmtId="0" fontId="17" fillId="4" borderId="3" xfId="1" applyNumberFormat="1" applyFont="1" applyFill="1" applyBorder="1" applyAlignment="1">
      <alignment horizontal="center" vertical="center" textRotation="90" wrapText="1"/>
    </xf>
    <xf numFmtId="0" fontId="12" fillId="4" borderId="29" xfId="1" applyNumberFormat="1" applyFont="1" applyFill="1" applyBorder="1" applyAlignment="1">
      <alignment horizontal="center" vertical="center" wrapText="1"/>
    </xf>
    <xf numFmtId="0" fontId="12" fillId="4" borderId="26" xfId="1" applyFont="1" applyFill="1" applyBorder="1" applyAlignment="1">
      <alignment horizontal="center" vertical="center"/>
    </xf>
    <xf numFmtId="0" fontId="12" fillId="4" borderId="32" xfId="1" applyFont="1" applyFill="1" applyBorder="1" applyAlignment="1">
      <alignment horizontal="center" vertical="center"/>
    </xf>
    <xf numFmtId="0" fontId="12" fillId="4" borderId="7" xfId="1" applyNumberFormat="1" applyFont="1" applyFill="1" applyBorder="1" applyAlignment="1">
      <alignment horizontal="center" vertical="center" wrapText="1"/>
    </xf>
    <xf numFmtId="0" fontId="12" fillId="4" borderId="8" xfId="1" applyNumberFormat="1" applyFont="1" applyFill="1" applyBorder="1" applyAlignment="1">
      <alignment horizontal="center" vertical="center" wrapText="1"/>
    </xf>
    <xf numFmtId="0" fontId="12" fillId="4" borderId="9" xfId="1" applyNumberFormat="1" applyFont="1" applyFill="1" applyBorder="1" applyAlignment="1">
      <alignment horizontal="center" vertical="center" wrapText="1"/>
    </xf>
    <xf numFmtId="0" fontId="12" fillId="4" borderId="34" xfId="1" applyFont="1" applyFill="1" applyBorder="1" applyAlignment="1">
      <alignment horizontal="left" vertical="center"/>
    </xf>
    <xf numFmtId="0" fontId="12" fillId="4" borderId="2" xfId="1" applyFont="1" applyFill="1" applyBorder="1" applyAlignment="1">
      <alignment horizontal="left" vertical="center"/>
    </xf>
    <xf numFmtId="0" fontId="12" fillId="4" borderId="1" xfId="1" applyFont="1" applyFill="1" applyBorder="1" applyAlignment="1">
      <alignment horizontal="left" vertical="center"/>
    </xf>
    <xf numFmtId="164" fontId="5" fillId="0" borderId="13" xfId="1" applyNumberFormat="1" applyFont="1" applyBorder="1" applyAlignment="1">
      <alignment horizontal="center" vertical="center" wrapText="1"/>
    </xf>
    <xf numFmtId="164" fontId="5" fillId="0" borderId="12" xfId="1" applyNumberFormat="1" applyFont="1" applyBorder="1" applyAlignment="1">
      <alignment horizontal="center" vertical="center" wrapText="1"/>
    </xf>
    <xf numFmtId="165" fontId="7" fillId="0" borderId="13" xfId="1" applyNumberFormat="1" applyFont="1" applyFill="1" applyBorder="1" applyAlignment="1">
      <alignment horizontal="center" vertical="center" wrapText="1"/>
    </xf>
    <xf numFmtId="165" fontId="5" fillId="0" borderId="12" xfId="1" applyNumberFormat="1" applyFont="1" applyFill="1" applyBorder="1" applyAlignment="1">
      <alignment horizontal="center" vertical="center" wrapText="1"/>
    </xf>
    <xf numFmtId="49" fontId="15" fillId="4" borderId="29" xfId="12" applyNumberFormat="1" applyFont="1" applyFill="1" applyBorder="1" applyAlignment="1">
      <alignment horizontal="center" vertical="center" wrapText="1"/>
    </xf>
    <xf numFmtId="49" fontId="15" fillId="4" borderId="33" xfId="12" applyNumberFormat="1" applyFont="1" applyFill="1" applyBorder="1" applyAlignment="1">
      <alignment horizontal="center" vertical="center" wrapText="1"/>
    </xf>
    <xf numFmtId="49" fontId="7" fillId="0" borderId="37" xfId="1" applyNumberFormat="1" applyFont="1" applyFill="1" applyBorder="1" applyAlignment="1">
      <alignment horizontal="left" vertical="center" wrapText="1"/>
    </xf>
    <xf numFmtId="49" fontId="7" fillId="0" borderId="39" xfId="1" applyNumberFormat="1" applyFont="1" applyFill="1" applyBorder="1" applyAlignment="1">
      <alignment horizontal="left" vertical="center" wrapText="1"/>
    </xf>
    <xf numFmtId="49" fontId="7" fillId="0" borderId="39" xfId="1" applyNumberFormat="1" applyFont="1" applyFill="1" applyBorder="1" applyAlignment="1">
      <alignment horizontal="left" vertical="justify" wrapText="1"/>
    </xf>
    <xf numFmtId="0" fontId="12" fillId="4" borderId="31" xfId="1" applyNumberFormat="1" applyFont="1" applyFill="1" applyBorder="1" applyAlignment="1">
      <alignment horizontal="center" vertical="center" wrapText="1"/>
    </xf>
    <xf numFmtId="164" fontId="5" fillId="0" borderId="20" xfId="1" applyNumberFormat="1" applyFont="1" applyBorder="1" applyAlignment="1">
      <alignment horizontal="center" vertical="center" wrapText="1"/>
    </xf>
    <xf numFmtId="164" fontId="5" fillId="0" borderId="21" xfId="1" applyNumberFormat="1" applyFont="1" applyBorder="1" applyAlignment="1">
      <alignment horizontal="center" vertical="center" wrapText="1"/>
    </xf>
    <xf numFmtId="49" fontId="7" fillId="0" borderId="50" xfId="1" applyNumberFormat="1" applyFont="1" applyFill="1" applyBorder="1" applyAlignment="1" applyProtection="1">
      <alignment horizontal="left" vertical="justify" wrapText="1"/>
      <protection locked="0"/>
    </xf>
    <xf numFmtId="49" fontId="7" fillId="0" borderId="51" xfId="1" applyNumberFormat="1" applyFont="1" applyFill="1" applyBorder="1" applyAlignment="1" applyProtection="1">
      <alignment horizontal="left" vertical="justify" wrapText="1"/>
      <protection locked="0"/>
    </xf>
    <xf numFmtId="49" fontId="7" fillId="0" borderId="43" xfId="1" applyNumberFormat="1" applyFont="1" applyFill="1" applyBorder="1" applyAlignment="1" applyProtection="1">
      <alignment horizontal="left" vertical="justify" wrapText="1"/>
      <protection locked="0"/>
    </xf>
    <xf numFmtId="0" fontId="5" fillId="0" borderId="36" xfId="1" applyFont="1" applyFill="1" applyBorder="1" applyAlignment="1">
      <alignment horizontal="left" vertical="center" wrapText="1"/>
    </xf>
    <xf numFmtId="164" fontId="5" fillId="0" borderId="22" xfId="1" applyNumberFormat="1" applyFont="1" applyBorder="1" applyAlignment="1">
      <alignment horizontal="center" vertical="center" wrapText="1"/>
    </xf>
    <xf numFmtId="164" fontId="7" fillId="0" borderId="22" xfId="1" applyNumberFormat="1" applyFont="1" applyBorder="1" applyAlignment="1">
      <alignment horizontal="center" vertical="center" wrapText="1"/>
    </xf>
    <xf numFmtId="0" fontId="1" fillId="0" borderId="13" xfId="0" applyFont="1" applyBorder="1" applyAlignment="1">
      <alignment horizontal="center" vertical="center" wrapText="1"/>
    </xf>
    <xf numFmtId="165" fontId="5" fillId="0" borderId="18" xfId="1" applyNumberFormat="1" applyFont="1" applyFill="1" applyBorder="1" applyAlignment="1">
      <alignment horizontal="center" vertical="center" wrapText="1"/>
    </xf>
    <xf numFmtId="164" fontId="5" fillId="0" borderId="18" xfId="1" applyNumberFormat="1" applyFont="1" applyFill="1" applyBorder="1" applyAlignment="1">
      <alignment horizontal="center" vertical="center" wrapText="1"/>
    </xf>
    <xf numFmtId="165" fontId="7" fillId="0" borderId="17" xfId="1" applyNumberFormat="1" applyFont="1" applyBorder="1" applyAlignment="1">
      <alignment horizontal="center" vertical="center" wrapText="1"/>
    </xf>
    <xf numFmtId="165" fontId="7" fillId="0" borderId="18" xfId="1" applyNumberFormat="1" applyFont="1" applyBorder="1" applyAlignment="1">
      <alignment horizontal="center" vertical="center" wrapText="1"/>
    </xf>
    <xf numFmtId="165" fontId="7" fillId="0" borderId="19" xfId="1" applyNumberFormat="1" applyFont="1" applyBorder="1" applyAlignment="1">
      <alignment horizontal="center" vertical="center" wrapText="1"/>
    </xf>
    <xf numFmtId="164" fontId="5" fillId="0" borderId="16" xfId="1" applyNumberFormat="1" applyFont="1" applyBorder="1" applyAlignment="1">
      <alignment horizontal="center" vertical="center" wrapText="1"/>
    </xf>
    <xf numFmtId="164" fontId="7" fillId="0" borderId="16" xfId="1" applyNumberFormat="1" applyFont="1" applyBorder="1" applyAlignment="1">
      <alignment horizontal="center" vertical="center" wrapText="1"/>
    </xf>
    <xf numFmtId="0" fontId="5" fillId="0" borderId="42" xfId="1" applyFont="1" applyFill="1" applyBorder="1" applyAlignment="1">
      <alignment horizontal="left" vertical="center" wrapText="1"/>
    </xf>
    <xf numFmtId="0" fontId="5" fillId="0" borderId="38" xfId="4" applyFont="1" applyFill="1" applyBorder="1" applyAlignment="1">
      <alignment horizontal="left" vertical="center" wrapText="1"/>
    </xf>
    <xf numFmtId="165" fontId="7" fillId="0" borderId="54" xfId="1" applyNumberFormat="1" applyFont="1" applyFill="1" applyBorder="1" applyAlignment="1">
      <alignment horizontal="center" vertical="center" wrapText="1"/>
    </xf>
    <xf numFmtId="164" fontId="7" fillId="0" borderId="54" xfId="1" applyNumberFormat="1" applyFont="1" applyFill="1" applyBorder="1" applyAlignment="1">
      <alignment horizontal="center" vertical="center" wrapText="1"/>
    </xf>
    <xf numFmtId="165" fontId="7" fillId="2" borderId="56" xfId="1" applyNumberFormat="1" applyFont="1" applyFill="1" applyBorder="1" applyAlignment="1">
      <alignment horizontal="center" vertical="center" wrapText="1"/>
    </xf>
    <xf numFmtId="165" fontId="7" fillId="2" borderId="19" xfId="1" applyNumberFormat="1" applyFont="1" applyFill="1" applyBorder="1" applyAlignment="1">
      <alignment horizontal="center" vertical="center" wrapText="1"/>
    </xf>
    <xf numFmtId="164" fontId="7" fillId="2" borderId="56" xfId="1" applyNumberFormat="1" applyFont="1" applyFill="1" applyBorder="1" applyAlignment="1">
      <alignment horizontal="center" vertical="center" wrapText="1"/>
    </xf>
    <xf numFmtId="164" fontId="7" fillId="0" borderId="56" xfId="1" applyNumberFormat="1" applyFont="1" applyFill="1" applyBorder="1" applyAlignment="1">
      <alignment horizontal="center" vertical="center" wrapText="1"/>
    </xf>
    <xf numFmtId="165" fontId="7" fillId="0" borderId="20" xfId="1" applyNumberFormat="1" applyFont="1" applyFill="1" applyBorder="1" applyAlignment="1">
      <alignment horizontal="center" vertical="center" wrapText="1"/>
    </xf>
    <xf numFmtId="165" fontId="7" fillId="0" borderId="21" xfId="1" applyNumberFormat="1" applyFont="1" applyFill="1" applyBorder="1" applyAlignment="1">
      <alignment horizontal="center" vertical="center" wrapText="1"/>
    </xf>
    <xf numFmtId="164" fontId="7" fillId="0" borderId="20" xfId="1" applyNumberFormat="1" applyFont="1" applyFill="1" applyBorder="1" applyAlignment="1">
      <alignment horizontal="center" vertical="center" wrapText="1"/>
    </xf>
    <xf numFmtId="164" fontId="7" fillId="0" borderId="21" xfId="1" applyNumberFormat="1" applyFont="1" applyFill="1" applyBorder="1" applyAlignment="1">
      <alignment horizontal="center" vertical="center" wrapText="1"/>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nru/Downloads/WEB_2020_December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20"/>
    </sheetNames>
    <sheetDataSet>
      <sheetData sheetId="0">
        <row r="104">
          <cell r="I104">
            <v>1381158.2442500005</v>
          </cell>
          <cell r="J104">
            <v>56923.766040000002</v>
          </cell>
          <cell r="K104">
            <v>6314136.1803750005</v>
          </cell>
          <cell r="L104">
            <v>282664.45888000005</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112"/>
  <sheetViews>
    <sheetView tabSelected="1" view="pageBreakPreview" topLeftCell="A96" zoomScale="64" zoomScaleNormal="64" zoomScaleSheetLayoutView="64" zoomScalePageLayoutView="40" workbookViewId="0">
      <selection activeCell="A104" sqref="A104"/>
    </sheetView>
  </sheetViews>
  <sheetFormatPr defaultColWidth="9.23046875" defaultRowHeight="16"/>
  <cols>
    <col min="1" max="1" width="73.61328125" style="3" customWidth="1"/>
    <col min="2" max="2" width="12.84375" style="4" bestFit="1" customWidth="1"/>
    <col min="3" max="3" width="12.765625" style="2" bestFit="1" customWidth="1"/>
    <col min="4" max="4" width="10.4609375" style="3" customWidth="1"/>
    <col min="5" max="5" width="13.15234375" style="3" bestFit="1" customWidth="1"/>
    <col min="6" max="6" width="9.84375" style="3" customWidth="1"/>
    <col min="7" max="7" width="17.765625" style="1" customWidth="1"/>
    <col min="8" max="8" width="14.15234375" style="3" customWidth="1"/>
    <col min="9" max="9" width="15.4609375" style="3" customWidth="1"/>
    <col min="10" max="10" width="13.15234375" style="3" customWidth="1"/>
    <col min="11" max="11" width="17" style="3" customWidth="1"/>
    <col min="12" max="12" width="15.4609375" style="3" customWidth="1"/>
    <col min="13" max="13" width="114.765625" style="12" customWidth="1"/>
    <col min="14" max="14" width="20.765625" style="1" customWidth="1"/>
    <col min="15" max="17" width="9.23046875" style="1"/>
    <col min="18" max="18" width="9.23046875" style="1" customWidth="1"/>
    <col min="19" max="16384" width="9.23046875" style="1"/>
  </cols>
  <sheetData>
    <row r="1" spans="1:14" ht="6" customHeight="1">
      <c r="A1" s="1"/>
      <c r="B1" s="2"/>
      <c r="D1" s="1"/>
      <c r="E1" s="1"/>
      <c r="F1" s="1"/>
      <c r="H1" s="1"/>
      <c r="I1" s="1"/>
      <c r="J1" s="1"/>
      <c r="K1" s="1"/>
      <c r="L1" s="1"/>
    </row>
    <row r="2" spans="1:14" s="5" customFormat="1" ht="29.5" customHeight="1">
      <c r="A2" s="13" t="s">
        <v>95</v>
      </c>
      <c r="B2" s="14"/>
      <c r="C2" s="14"/>
      <c r="D2" s="13"/>
      <c r="E2" s="13"/>
      <c r="F2" s="13"/>
      <c r="G2" s="13"/>
      <c r="H2" s="13"/>
      <c r="I2" s="13"/>
      <c r="J2" s="13"/>
      <c r="K2" s="15"/>
      <c r="L2" s="13"/>
      <c r="M2" s="32"/>
    </row>
    <row r="3" spans="1:14" ht="27" customHeight="1">
      <c r="A3" s="16" t="s">
        <v>170</v>
      </c>
      <c r="B3" s="17"/>
      <c r="C3" s="17"/>
      <c r="D3" s="18"/>
      <c r="E3" s="18"/>
      <c r="F3" s="18"/>
      <c r="G3" s="18"/>
      <c r="H3" s="18"/>
      <c r="I3" s="18"/>
      <c r="J3" s="18"/>
      <c r="K3" s="18"/>
      <c r="L3" s="18"/>
    </row>
    <row r="4" spans="1:14" s="5" customFormat="1" ht="54.65" customHeight="1">
      <c r="A4" s="228" t="s">
        <v>9</v>
      </c>
      <c r="B4" s="225" t="s">
        <v>153</v>
      </c>
      <c r="C4" s="225" t="s">
        <v>28</v>
      </c>
      <c r="D4" s="222" t="s">
        <v>27</v>
      </c>
      <c r="E4" s="222"/>
      <c r="F4" s="227"/>
      <c r="G4" s="221" t="s">
        <v>121</v>
      </c>
      <c r="H4" s="222"/>
      <c r="I4" s="221" t="s">
        <v>122</v>
      </c>
      <c r="J4" s="222"/>
      <c r="K4" s="245" t="s">
        <v>53</v>
      </c>
      <c r="L4" s="221"/>
      <c r="M4" s="240" t="s">
        <v>29</v>
      </c>
    </row>
    <row r="5" spans="1:14" s="5" customFormat="1" ht="33.75" customHeight="1" thickBot="1">
      <c r="A5" s="229"/>
      <c r="B5" s="226"/>
      <c r="C5" s="226"/>
      <c r="D5" s="230" t="s">
        <v>19</v>
      </c>
      <c r="E5" s="231"/>
      <c r="F5" s="232"/>
      <c r="G5" s="223" t="s">
        <v>6</v>
      </c>
      <c r="H5" s="224"/>
      <c r="I5" s="223" t="s">
        <v>6</v>
      </c>
      <c r="J5" s="224"/>
      <c r="K5" s="223" t="s">
        <v>6</v>
      </c>
      <c r="L5" s="224"/>
      <c r="M5" s="241"/>
    </row>
    <row r="6" spans="1:14" ht="28.5" customHeight="1" thickBot="1">
      <c r="A6" s="51"/>
      <c r="B6" s="19"/>
      <c r="C6" s="19"/>
      <c r="D6" s="20" t="s">
        <v>10</v>
      </c>
      <c r="E6" s="20" t="s">
        <v>11</v>
      </c>
      <c r="F6" s="20" t="s">
        <v>12</v>
      </c>
      <c r="G6" s="20" t="s">
        <v>11</v>
      </c>
      <c r="H6" s="20" t="s">
        <v>12</v>
      </c>
      <c r="I6" s="20" t="s">
        <v>11</v>
      </c>
      <c r="J6" s="20" t="s">
        <v>12</v>
      </c>
      <c r="K6" s="20" t="s">
        <v>11</v>
      </c>
      <c r="L6" s="20" t="s">
        <v>12</v>
      </c>
      <c r="M6" s="52"/>
    </row>
    <row r="7" spans="1:14" s="6" customFormat="1" ht="30" customHeight="1" thickBot="1">
      <c r="A7" s="233" t="s">
        <v>23</v>
      </c>
      <c r="B7" s="234"/>
      <c r="C7" s="234"/>
      <c r="D7" s="234"/>
      <c r="E7" s="234"/>
      <c r="F7" s="235"/>
      <c r="G7" s="21">
        <f t="shared" ref="G7:L7" si="0">SUM(G8:G36)</f>
        <v>475680</v>
      </c>
      <c r="H7" s="21">
        <f t="shared" si="0"/>
        <v>5000</v>
      </c>
      <c r="I7" s="21">
        <f>SUM(I8:I36)</f>
        <v>746527.50306000025</v>
      </c>
      <c r="J7" s="21">
        <f t="shared" si="0"/>
        <v>6177.9985999999999</v>
      </c>
      <c r="K7" s="21">
        <f t="shared" si="0"/>
        <v>3354021.3299100008</v>
      </c>
      <c r="L7" s="21">
        <f t="shared" si="0"/>
        <v>44625.065219999997</v>
      </c>
      <c r="M7" s="53"/>
      <c r="N7" s="37"/>
    </row>
    <row r="8" spans="1:14" s="2" customFormat="1" ht="100.5" customHeight="1">
      <c r="A8" s="218" t="s">
        <v>50</v>
      </c>
      <c r="B8" s="239">
        <v>41431</v>
      </c>
      <c r="C8" s="206">
        <v>43830</v>
      </c>
      <c r="D8" s="80" t="s">
        <v>0</v>
      </c>
      <c r="E8" s="80">
        <v>24500</v>
      </c>
      <c r="F8" s="210"/>
      <c r="G8" s="237">
        <v>925</v>
      </c>
      <c r="H8" s="202"/>
      <c r="I8" s="200">
        <v>1358.0915500000001</v>
      </c>
      <c r="J8" s="211"/>
      <c r="K8" s="200">
        <f>163627.86457+I8</f>
        <v>164985.95612000002</v>
      </c>
      <c r="L8" s="200"/>
      <c r="M8" s="242" t="s">
        <v>156</v>
      </c>
    </row>
    <row r="9" spans="1:14" s="2" customFormat="1" ht="75.75" customHeight="1">
      <c r="A9" s="219"/>
      <c r="B9" s="208"/>
      <c r="C9" s="207"/>
      <c r="D9" s="81" t="s">
        <v>1</v>
      </c>
      <c r="E9" s="81">
        <v>38000</v>
      </c>
      <c r="F9" s="191"/>
      <c r="G9" s="236"/>
      <c r="H9" s="203"/>
      <c r="I9" s="199"/>
      <c r="J9" s="209"/>
      <c r="K9" s="199"/>
      <c r="L9" s="199"/>
      <c r="M9" s="243"/>
    </row>
    <row r="10" spans="1:14" s="82" customFormat="1" ht="90" customHeight="1">
      <c r="A10" s="219" t="s">
        <v>43</v>
      </c>
      <c r="B10" s="208">
        <v>42410</v>
      </c>
      <c r="C10" s="208">
        <v>45291</v>
      </c>
      <c r="D10" s="81" t="s">
        <v>1</v>
      </c>
      <c r="E10" s="81">
        <v>140000</v>
      </c>
      <c r="F10" s="81"/>
      <c r="G10" s="236">
        <v>59300</v>
      </c>
      <c r="H10" s="203"/>
      <c r="I10" s="199">
        <v>143010.27402000001</v>
      </c>
      <c r="J10" s="209"/>
      <c r="K10" s="199">
        <f>168216.49098+I10</f>
        <v>311226.76500000001</v>
      </c>
      <c r="L10" s="199"/>
      <c r="M10" s="243" t="s">
        <v>174</v>
      </c>
    </row>
    <row r="11" spans="1:14" s="82" customFormat="1" ht="89.25" customHeight="1">
      <c r="A11" s="219"/>
      <c r="B11" s="208"/>
      <c r="C11" s="208"/>
      <c r="D11" s="81" t="s">
        <v>4</v>
      </c>
      <c r="E11" s="81">
        <v>49450</v>
      </c>
      <c r="F11" s="81"/>
      <c r="G11" s="236"/>
      <c r="H11" s="203"/>
      <c r="I11" s="199"/>
      <c r="J11" s="209"/>
      <c r="K11" s="199"/>
      <c r="L11" s="199"/>
      <c r="M11" s="243"/>
    </row>
    <row r="12" spans="1:14" s="2" customFormat="1" ht="54" customHeight="1">
      <c r="A12" s="219" t="s">
        <v>52</v>
      </c>
      <c r="B12" s="208">
        <v>40115</v>
      </c>
      <c r="C12" s="208">
        <v>43737</v>
      </c>
      <c r="D12" s="81" t="s">
        <v>0</v>
      </c>
      <c r="E12" s="81">
        <v>75892</v>
      </c>
      <c r="F12" s="191"/>
      <c r="G12" s="236">
        <v>1500</v>
      </c>
      <c r="H12" s="203"/>
      <c r="I12" s="199">
        <v>1489.46657</v>
      </c>
      <c r="J12" s="199"/>
      <c r="K12" s="199">
        <f>391974.5999+I12</f>
        <v>393464.06646999996</v>
      </c>
      <c r="L12" s="199"/>
      <c r="M12" s="244" t="s">
        <v>134</v>
      </c>
    </row>
    <row r="13" spans="1:14" s="2" customFormat="1" ht="57" customHeight="1">
      <c r="A13" s="219"/>
      <c r="B13" s="208"/>
      <c r="C13" s="208"/>
      <c r="D13" s="81" t="s">
        <v>2</v>
      </c>
      <c r="E13" s="81">
        <v>140000</v>
      </c>
      <c r="F13" s="191"/>
      <c r="G13" s="236"/>
      <c r="H13" s="203"/>
      <c r="I13" s="199"/>
      <c r="J13" s="199"/>
      <c r="K13" s="199"/>
      <c r="L13" s="199"/>
      <c r="M13" s="244"/>
    </row>
    <row r="14" spans="1:14" s="82" customFormat="1" ht="36" customHeight="1">
      <c r="A14" s="188" t="s">
        <v>51</v>
      </c>
      <c r="B14" s="189" t="s">
        <v>63</v>
      </c>
      <c r="C14" s="189" t="s">
        <v>64</v>
      </c>
      <c r="D14" s="83" t="s">
        <v>4</v>
      </c>
      <c r="E14" s="83">
        <v>108190</v>
      </c>
      <c r="F14" s="181"/>
      <c r="G14" s="183">
        <v>41500</v>
      </c>
      <c r="H14" s="204"/>
      <c r="I14" s="185">
        <v>61712.83999</v>
      </c>
      <c r="J14" s="185"/>
      <c r="K14" s="185">
        <f>117939.54392+I14</f>
        <v>179652.38391</v>
      </c>
      <c r="L14" s="185"/>
      <c r="M14" s="175" t="s">
        <v>166</v>
      </c>
    </row>
    <row r="15" spans="1:14" s="82" customFormat="1" ht="36" customHeight="1">
      <c r="A15" s="262"/>
      <c r="B15" s="212"/>
      <c r="C15" s="212"/>
      <c r="D15" s="83" t="s">
        <v>1</v>
      </c>
      <c r="E15" s="83">
        <v>114000</v>
      </c>
      <c r="F15" s="182"/>
      <c r="G15" s="184"/>
      <c r="H15" s="205"/>
      <c r="I15" s="186"/>
      <c r="J15" s="186"/>
      <c r="K15" s="186"/>
      <c r="L15" s="186"/>
      <c r="M15" s="176"/>
    </row>
    <row r="16" spans="1:14" s="2" customFormat="1" ht="99.75" customHeight="1">
      <c r="A16" s="54" t="s">
        <v>20</v>
      </c>
      <c r="B16" s="46">
        <v>40163</v>
      </c>
      <c r="C16" s="22">
        <v>45101</v>
      </c>
      <c r="D16" s="81" t="s">
        <v>3</v>
      </c>
      <c r="E16" s="81">
        <v>22132000</v>
      </c>
      <c r="F16" s="81"/>
      <c r="G16" s="84">
        <v>3610</v>
      </c>
      <c r="H16" s="85"/>
      <c r="I16" s="151">
        <v>3720.8762499999998</v>
      </c>
      <c r="J16" s="151"/>
      <c r="K16" s="151">
        <f>396912.82844+I16</f>
        <v>400633.70468999998</v>
      </c>
      <c r="L16" s="151"/>
      <c r="M16" s="55" t="s">
        <v>135</v>
      </c>
    </row>
    <row r="17" spans="1:17" s="2" customFormat="1" ht="159" customHeight="1">
      <c r="A17" s="54" t="s">
        <v>35</v>
      </c>
      <c r="B17" s="46">
        <v>41040</v>
      </c>
      <c r="C17" s="46">
        <v>43797</v>
      </c>
      <c r="D17" s="81" t="s">
        <v>4</v>
      </c>
      <c r="E17" s="81">
        <v>200000</v>
      </c>
      <c r="F17" s="81">
        <v>20000</v>
      </c>
      <c r="G17" s="84">
        <v>37000</v>
      </c>
      <c r="H17" s="85">
        <v>5000</v>
      </c>
      <c r="I17" s="151">
        <v>65764.813999999998</v>
      </c>
      <c r="J17" s="151">
        <v>6177.9985999999999</v>
      </c>
      <c r="K17" s="151">
        <f>353684.85275+I17</f>
        <v>419449.66675000003</v>
      </c>
      <c r="L17" s="151">
        <f>38447.06662+J17</f>
        <v>44625.065219999997</v>
      </c>
      <c r="M17" s="55" t="s">
        <v>159</v>
      </c>
    </row>
    <row r="18" spans="1:17" s="82" customFormat="1" ht="30" customHeight="1">
      <c r="A18" s="179" t="s">
        <v>74</v>
      </c>
      <c r="B18" s="31" t="s">
        <v>92</v>
      </c>
      <c r="C18" s="31" t="s">
        <v>93</v>
      </c>
      <c r="D18" s="86" t="s">
        <v>4</v>
      </c>
      <c r="E18" s="86">
        <v>16000</v>
      </c>
      <c r="F18" s="86"/>
      <c r="G18" s="183">
        <v>14000</v>
      </c>
      <c r="H18" s="204"/>
      <c r="I18" s="185">
        <v>19111.504720000001</v>
      </c>
      <c r="J18" s="185"/>
      <c r="K18" s="185">
        <f>59639.55053+I18</f>
        <v>78751.055250000005</v>
      </c>
      <c r="L18" s="185"/>
      <c r="M18" s="175" t="s">
        <v>148</v>
      </c>
    </row>
    <row r="19" spans="1:17" s="82" customFormat="1" ht="27.75" customHeight="1">
      <c r="A19" s="180"/>
      <c r="B19" s="31">
        <v>43382</v>
      </c>
      <c r="C19" s="31">
        <v>44539</v>
      </c>
      <c r="D19" s="86" t="s">
        <v>4</v>
      </c>
      <c r="E19" s="215">
        <v>250000</v>
      </c>
      <c r="F19" s="86"/>
      <c r="G19" s="184"/>
      <c r="H19" s="205"/>
      <c r="I19" s="186"/>
      <c r="J19" s="186"/>
      <c r="K19" s="186"/>
      <c r="L19" s="186"/>
      <c r="M19" s="176"/>
    </row>
    <row r="20" spans="1:17" s="82" customFormat="1" ht="47.25" customHeight="1">
      <c r="A20" s="56" t="s">
        <v>72</v>
      </c>
      <c r="B20" s="189">
        <v>42652</v>
      </c>
      <c r="C20" s="189">
        <v>44539</v>
      </c>
      <c r="D20" s="213" t="s">
        <v>4</v>
      </c>
      <c r="E20" s="216"/>
      <c r="F20" s="87"/>
      <c r="G20" s="84">
        <v>84750</v>
      </c>
      <c r="H20" s="84"/>
      <c r="I20" s="151">
        <v>156531.50769</v>
      </c>
      <c r="J20" s="151"/>
      <c r="K20" s="151">
        <f>215007.00447+I20</f>
        <v>371538.51216000004</v>
      </c>
      <c r="L20" s="151"/>
      <c r="M20" s="55" t="s">
        <v>116</v>
      </c>
    </row>
    <row r="21" spans="1:17" s="82" customFormat="1" ht="38.25" customHeight="1">
      <c r="A21" s="56" t="s">
        <v>114</v>
      </c>
      <c r="B21" s="212"/>
      <c r="C21" s="212"/>
      <c r="D21" s="214"/>
      <c r="E21" s="217"/>
      <c r="F21" s="87"/>
      <c r="G21" s="84">
        <v>15995</v>
      </c>
      <c r="H21" s="88"/>
      <c r="I21" s="151">
        <v>40894.999980000001</v>
      </c>
      <c r="J21" s="151"/>
      <c r="K21" s="151">
        <f>32232.72593+I21</f>
        <v>73127.725910000008</v>
      </c>
      <c r="L21" s="151"/>
      <c r="M21" s="55" t="s">
        <v>117</v>
      </c>
    </row>
    <row r="22" spans="1:17" s="82" customFormat="1" ht="56.25" customHeight="1">
      <c r="A22" s="56" t="s">
        <v>71</v>
      </c>
      <c r="B22" s="30"/>
      <c r="C22" s="30"/>
      <c r="D22" s="87"/>
      <c r="E22" s="87"/>
      <c r="F22" s="87"/>
      <c r="G22" s="81"/>
      <c r="H22" s="87"/>
      <c r="I22" s="134"/>
      <c r="J22" s="134"/>
      <c r="K22" s="134"/>
      <c r="L22" s="134"/>
      <c r="M22" s="55" t="s">
        <v>175</v>
      </c>
    </row>
    <row r="23" spans="1:17" s="82" customFormat="1" ht="48" customHeight="1">
      <c r="A23" s="56" t="s">
        <v>68</v>
      </c>
      <c r="B23" s="30"/>
      <c r="C23" s="30"/>
      <c r="D23" s="87"/>
      <c r="E23" s="87"/>
      <c r="F23" s="87"/>
      <c r="G23" s="81"/>
      <c r="H23" s="87"/>
      <c r="I23" s="134"/>
      <c r="J23" s="134"/>
      <c r="K23" s="134"/>
      <c r="L23" s="134"/>
      <c r="M23" s="55" t="s">
        <v>176</v>
      </c>
    </row>
    <row r="24" spans="1:17" s="82" customFormat="1" ht="60" customHeight="1">
      <c r="A24" s="56" t="s">
        <v>73</v>
      </c>
      <c r="B24" s="47">
        <v>43378</v>
      </c>
      <c r="C24" s="47">
        <v>45657</v>
      </c>
      <c r="D24" s="83" t="s">
        <v>4</v>
      </c>
      <c r="E24" s="83">
        <v>255297</v>
      </c>
      <c r="F24" s="87"/>
      <c r="G24" s="84">
        <v>64855</v>
      </c>
      <c r="H24" s="88"/>
      <c r="I24" s="151">
        <v>89748.017850000004</v>
      </c>
      <c r="J24" s="151"/>
      <c r="K24" s="151">
        <f>125625.3416+I24</f>
        <v>215373.35944999999</v>
      </c>
      <c r="L24" s="151"/>
      <c r="M24" s="55" t="s">
        <v>136</v>
      </c>
    </row>
    <row r="25" spans="1:17" s="82" customFormat="1" ht="28.5" customHeight="1">
      <c r="A25" s="179" t="s">
        <v>75</v>
      </c>
      <c r="B25" s="46">
        <v>43704</v>
      </c>
      <c r="C25" s="177">
        <v>45291</v>
      </c>
      <c r="D25" s="181" t="s">
        <v>4</v>
      </c>
      <c r="E25" s="81">
        <v>370236</v>
      </c>
      <c r="F25" s="87"/>
      <c r="G25" s="183">
        <v>500</v>
      </c>
      <c r="H25" s="183"/>
      <c r="I25" s="185">
        <v>3230.0087600000002</v>
      </c>
      <c r="J25" s="185"/>
      <c r="K25" s="185">
        <f>223666.14134+I25</f>
        <v>226896.1501</v>
      </c>
      <c r="L25" s="185"/>
      <c r="M25" s="175" t="s">
        <v>167</v>
      </c>
    </row>
    <row r="26" spans="1:17" s="82" customFormat="1" ht="23.25" customHeight="1">
      <c r="A26" s="180"/>
      <c r="B26" s="46">
        <v>43749</v>
      </c>
      <c r="C26" s="178"/>
      <c r="D26" s="182"/>
      <c r="E26" s="81">
        <v>53400</v>
      </c>
      <c r="F26" s="87"/>
      <c r="G26" s="184"/>
      <c r="H26" s="184"/>
      <c r="I26" s="186"/>
      <c r="J26" s="186"/>
      <c r="K26" s="186"/>
      <c r="L26" s="186"/>
      <c r="M26" s="176"/>
    </row>
    <row r="27" spans="1:17" s="82" customFormat="1" ht="54.75" customHeight="1">
      <c r="A27" s="57" t="s">
        <v>123</v>
      </c>
      <c r="B27" s="46">
        <v>43796</v>
      </c>
      <c r="C27" s="47">
        <v>44926</v>
      </c>
      <c r="D27" s="81" t="s">
        <v>4</v>
      </c>
      <c r="E27" s="81">
        <v>255100</v>
      </c>
      <c r="F27" s="87"/>
      <c r="G27" s="84">
        <v>98895</v>
      </c>
      <c r="H27" s="88"/>
      <c r="I27" s="145">
        <v>109818.81142</v>
      </c>
      <c r="J27" s="145"/>
      <c r="K27" s="145">
        <f>I27</f>
        <v>109818.81142</v>
      </c>
      <c r="L27" s="145"/>
      <c r="M27" s="58" t="s">
        <v>168</v>
      </c>
    </row>
    <row r="28" spans="1:17" s="82" customFormat="1" ht="33" customHeight="1">
      <c r="A28" s="56" t="s">
        <v>119</v>
      </c>
      <c r="B28" s="30"/>
      <c r="C28" s="30"/>
      <c r="D28" s="87"/>
      <c r="E28" s="87"/>
      <c r="F28" s="87"/>
      <c r="G28" s="81"/>
      <c r="H28" s="87"/>
      <c r="I28" s="145"/>
      <c r="J28" s="145"/>
      <c r="K28" s="145"/>
      <c r="L28" s="145"/>
      <c r="M28" s="55" t="s">
        <v>137</v>
      </c>
    </row>
    <row r="29" spans="1:17" s="82" customFormat="1" ht="54" customHeight="1">
      <c r="A29" s="56" t="s">
        <v>70</v>
      </c>
      <c r="B29" s="30"/>
      <c r="C29" s="30"/>
      <c r="D29" s="87"/>
      <c r="E29" s="87"/>
      <c r="F29" s="87"/>
      <c r="G29" s="81"/>
      <c r="H29" s="87"/>
      <c r="I29" s="145"/>
      <c r="J29" s="145"/>
      <c r="K29" s="145"/>
      <c r="L29" s="145"/>
      <c r="M29" s="55" t="s">
        <v>160</v>
      </c>
    </row>
    <row r="30" spans="1:17" s="43" customFormat="1" ht="27.75" customHeight="1">
      <c r="A30" s="220" t="s">
        <v>13</v>
      </c>
      <c r="B30" s="238">
        <v>40990</v>
      </c>
      <c r="C30" s="238">
        <v>43646</v>
      </c>
      <c r="D30" s="83" t="s">
        <v>0</v>
      </c>
      <c r="E30" s="83">
        <v>25800</v>
      </c>
      <c r="F30" s="191"/>
      <c r="G30" s="191"/>
      <c r="H30" s="198"/>
      <c r="I30" s="199"/>
      <c r="J30" s="209"/>
      <c r="K30" s="199">
        <f>127772.76574+I30</f>
        <v>127772.76574</v>
      </c>
      <c r="L30" s="199"/>
      <c r="M30" s="243" t="s">
        <v>120</v>
      </c>
      <c r="N30" s="2"/>
      <c r="O30" s="2"/>
      <c r="P30" s="2"/>
      <c r="Q30" s="2"/>
    </row>
    <row r="31" spans="1:17" s="43" customFormat="1" ht="25.5" customHeight="1">
      <c r="A31" s="220"/>
      <c r="B31" s="238"/>
      <c r="C31" s="238"/>
      <c r="D31" s="83" t="s">
        <v>1</v>
      </c>
      <c r="E31" s="83">
        <v>30000</v>
      </c>
      <c r="F31" s="191"/>
      <c r="G31" s="191"/>
      <c r="H31" s="198"/>
      <c r="I31" s="199"/>
      <c r="J31" s="209"/>
      <c r="K31" s="199"/>
      <c r="L31" s="199"/>
      <c r="M31" s="243"/>
      <c r="N31" s="2"/>
      <c r="O31" s="2"/>
      <c r="P31" s="2"/>
      <c r="Q31" s="2"/>
    </row>
    <row r="32" spans="1:17" s="43" customFormat="1" ht="156.75" customHeight="1">
      <c r="A32" s="59" t="s">
        <v>59</v>
      </c>
      <c r="B32" s="47">
        <v>41829</v>
      </c>
      <c r="C32" s="39">
        <v>44561</v>
      </c>
      <c r="D32" s="83" t="s">
        <v>1</v>
      </c>
      <c r="E32" s="83">
        <v>75000</v>
      </c>
      <c r="F32" s="81"/>
      <c r="G32" s="84">
        <v>11200</v>
      </c>
      <c r="H32" s="85"/>
      <c r="I32" s="151">
        <v>15056.83819</v>
      </c>
      <c r="J32" s="151"/>
      <c r="K32" s="151">
        <f>152232.98933+I32</f>
        <v>167289.82752000002</v>
      </c>
      <c r="L32" s="151"/>
      <c r="M32" s="55" t="s">
        <v>177</v>
      </c>
      <c r="N32" s="2"/>
      <c r="O32" s="2"/>
      <c r="P32" s="2"/>
      <c r="Q32" s="2"/>
    </row>
    <row r="33" spans="1:17" s="43" customFormat="1" ht="120" customHeight="1">
      <c r="A33" s="59" t="s">
        <v>45</v>
      </c>
      <c r="B33" s="47">
        <v>42457</v>
      </c>
      <c r="C33" s="47">
        <v>44561</v>
      </c>
      <c r="D33" s="83" t="s">
        <v>1</v>
      </c>
      <c r="E33" s="83">
        <v>40000</v>
      </c>
      <c r="F33" s="81"/>
      <c r="G33" s="84">
        <v>19000</v>
      </c>
      <c r="H33" s="85"/>
      <c r="I33" s="151">
        <v>7591.8590400000003</v>
      </c>
      <c r="J33" s="151"/>
      <c r="K33" s="151">
        <f>41363.34064+I33</f>
        <v>48955.199680000005</v>
      </c>
      <c r="L33" s="151"/>
      <c r="M33" s="55" t="s">
        <v>169</v>
      </c>
      <c r="N33" s="2"/>
      <c r="O33" s="2"/>
      <c r="P33" s="2"/>
      <c r="Q33" s="2"/>
    </row>
    <row r="34" spans="1:17" s="43" customFormat="1" ht="54.65" customHeight="1">
      <c r="A34" s="56" t="s">
        <v>69</v>
      </c>
      <c r="B34" s="47" t="s">
        <v>65</v>
      </c>
      <c r="C34" s="47" t="s">
        <v>110</v>
      </c>
      <c r="D34" s="83" t="s">
        <v>1</v>
      </c>
      <c r="E34" s="83">
        <v>80000</v>
      </c>
      <c r="F34" s="81"/>
      <c r="G34" s="84">
        <v>10800</v>
      </c>
      <c r="H34" s="85"/>
      <c r="I34" s="151">
        <v>21477.46053</v>
      </c>
      <c r="J34" s="151"/>
      <c r="K34" s="151">
        <f>34245.64722+I34</f>
        <v>55723.107749999996</v>
      </c>
      <c r="L34" s="151"/>
      <c r="M34" s="55" t="s">
        <v>118</v>
      </c>
      <c r="N34" s="2"/>
      <c r="O34" s="2"/>
      <c r="P34" s="2"/>
      <c r="Q34" s="2"/>
    </row>
    <row r="35" spans="1:17" s="43" customFormat="1" ht="53.25" customHeight="1">
      <c r="A35" s="60" t="s">
        <v>138</v>
      </c>
      <c r="B35" s="46">
        <v>42752</v>
      </c>
      <c r="C35" s="46">
        <v>44196</v>
      </c>
      <c r="D35" s="81" t="s">
        <v>41</v>
      </c>
      <c r="E35" s="81">
        <v>8000</v>
      </c>
      <c r="F35" s="81"/>
      <c r="G35" s="84">
        <v>11250</v>
      </c>
      <c r="H35" s="85"/>
      <c r="I35" s="151">
        <v>5211.4825600000004</v>
      </c>
      <c r="J35" s="151"/>
      <c r="K35" s="151">
        <f>2066.76764+I35</f>
        <v>7278.2502000000004</v>
      </c>
      <c r="L35" s="151"/>
      <c r="M35" s="55" t="s">
        <v>178</v>
      </c>
      <c r="N35" s="2"/>
      <c r="O35" s="2"/>
      <c r="P35" s="2"/>
      <c r="Q35" s="2"/>
    </row>
    <row r="36" spans="1:17" s="43" customFormat="1" ht="51.65" customHeight="1" thickBot="1">
      <c r="A36" s="61" t="s">
        <v>42</v>
      </c>
      <c r="B36" s="44">
        <v>42734</v>
      </c>
      <c r="C36" s="44">
        <v>43830</v>
      </c>
      <c r="D36" s="89" t="s">
        <v>4</v>
      </c>
      <c r="E36" s="89">
        <v>6000</v>
      </c>
      <c r="F36" s="89"/>
      <c r="G36" s="90">
        <v>600</v>
      </c>
      <c r="H36" s="91"/>
      <c r="I36" s="135">
        <v>798.64994000000002</v>
      </c>
      <c r="J36" s="135"/>
      <c r="K36" s="135">
        <f>1285.37185+I36</f>
        <v>2084.0217899999998</v>
      </c>
      <c r="L36" s="135"/>
      <c r="M36" s="58" t="s">
        <v>179</v>
      </c>
      <c r="N36" s="2"/>
      <c r="O36" s="2"/>
      <c r="P36" s="2"/>
      <c r="Q36" s="2"/>
    </row>
    <row r="37" spans="1:17" s="94" customFormat="1" ht="36" customHeight="1" thickBot="1">
      <c r="A37" s="172" t="s">
        <v>7</v>
      </c>
      <c r="B37" s="173"/>
      <c r="C37" s="173"/>
      <c r="D37" s="173"/>
      <c r="E37" s="173"/>
      <c r="F37" s="174"/>
      <c r="G37" s="92">
        <f t="shared" ref="G37:L37" si="1">SUM(G38:G55)</f>
        <v>152015.5</v>
      </c>
      <c r="H37" s="92">
        <f t="shared" si="1"/>
        <v>3935</v>
      </c>
      <c r="I37" s="92">
        <f t="shared" si="1"/>
        <v>184164.78582000002</v>
      </c>
      <c r="J37" s="92">
        <f t="shared" si="1"/>
        <v>11512.68482</v>
      </c>
      <c r="K37" s="92">
        <f t="shared" si="1"/>
        <v>992606.48549000011</v>
      </c>
      <c r="L37" s="92">
        <f t="shared" si="1"/>
        <v>26779.505420000001</v>
      </c>
      <c r="M37" s="93"/>
    </row>
    <row r="38" spans="1:17" s="2" customFormat="1" ht="54.75" customHeight="1">
      <c r="A38" s="62" t="s">
        <v>21</v>
      </c>
      <c r="B38" s="48">
        <v>41869</v>
      </c>
      <c r="C38" s="48" t="s">
        <v>161</v>
      </c>
      <c r="D38" s="80" t="s">
        <v>1</v>
      </c>
      <c r="E38" s="80">
        <v>30000</v>
      </c>
      <c r="F38" s="80">
        <v>5000</v>
      </c>
      <c r="G38" s="95">
        <v>6615</v>
      </c>
      <c r="H38" s="96">
        <v>1385</v>
      </c>
      <c r="I38" s="136">
        <v>7837.1307200000001</v>
      </c>
      <c r="J38" s="150">
        <v>1131.8542299999999</v>
      </c>
      <c r="K38" s="136">
        <f>52585.31347+I38</f>
        <v>60422.444190000002</v>
      </c>
      <c r="L38" s="136">
        <f>8136.79195+J38</f>
        <v>9268.6461799999997</v>
      </c>
      <c r="M38" s="63" t="s">
        <v>78</v>
      </c>
    </row>
    <row r="39" spans="1:17" s="2" customFormat="1" ht="57" customHeight="1">
      <c r="A39" s="60" t="s">
        <v>14</v>
      </c>
      <c r="B39" s="46">
        <v>40227</v>
      </c>
      <c r="C39" s="22">
        <v>44926</v>
      </c>
      <c r="D39" s="81" t="s">
        <v>4</v>
      </c>
      <c r="E39" s="81">
        <v>3000</v>
      </c>
      <c r="F39" s="97">
        <v>4000</v>
      </c>
      <c r="G39" s="98">
        <v>2000</v>
      </c>
      <c r="H39" s="97"/>
      <c r="I39" s="150">
        <v>5360.7917399999997</v>
      </c>
      <c r="J39" s="150">
        <v>3971.9758900000002</v>
      </c>
      <c r="K39" s="150">
        <f>2401.7848+I39</f>
        <v>7762.57654</v>
      </c>
      <c r="L39" s="150">
        <f>J39</f>
        <v>3971.9758900000002</v>
      </c>
      <c r="M39" s="55" t="s">
        <v>180</v>
      </c>
    </row>
    <row r="40" spans="1:17" s="2" customFormat="1" ht="96" customHeight="1">
      <c r="A40" s="60" t="s">
        <v>36</v>
      </c>
      <c r="B40" s="46">
        <v>41621</v>
      </c>
      <c r="C40" s="46">
        <v>44926</v>
      </c>
      <c r="D40" s="81" t="s">
        <v>4</v>
      </c>
      <c r="E40" s="81">
        <v>20000</v>
      </c>
      <c r="F40" s="81">
        <v>2000</v>
      </c>
      <c r="G40" s="98">
        <v>700</v>
      </c>
      <c r="H40" s="97">
        <v>1300</v>
      </c>
      <c r="I40" s="150">
        <v>953.38706999999999</v>
      </c>
      <c r="J40" s="150">
        <v>2151.68795</v>
      </c>
      <c r="K40" s="137">
        <f>7439.85874+I40</f>
        <v>8393.2458100000003</v>
      </c>
      <c r="L40" s="150">
        <f>6355.42307+J40</f>
        <v>8507.1110200000003</v>
      </c>
      <c r="M40" s="55" t="s">
        <v>181</v>
      </c>
    </row>
    <row r="41" spans="1:17" s="2" customFormat="1" ht="68.25" customHeight="1">
      <c r="A41" s="263" t="s">
        <v>60</v>
      </c>
      <c r="B41" s="208">
        <v>40350</v>
      </c>
      <c r="C41" s="208">
        <v>44030</v>
      </c>
      <c r="D41" s="81" t="s">
        <v>0</v>
      </c>
      <c r="E41" s="81">
        <f>57986+10639</f>
        <v>68625</v>
      </c>
      <c r="F41" s="191"/>
      <c r="G41" s="246">
        <v>22800</v>
      </c>
      <c r="H41" s="261"/>
      <c r="I41" s="192">
        <v>41798.633970000003</v>
      </c>
      <c r="J41" s="192"/>
      <c r="K41" s="193">
        <f>408545.01518+I41</f>
        <v>450343.64915000001</v>
      </c>
      <c r="L41" s="192"/>
      <c r="M41" s="243" t="s">
        <v>182</v>
      </c>
    </row>
    <row r="42" spans="1:17" s="2" customFormat="1" ht="104.25" customHeight="1">
      <c r="A42" s="263"/>
      <c r="B42" s="208"/>
      <c r="C42" s="208"/>
      <c r="D42" s="81" t="s">
        <v>1</v>
      </c>
      <c r="E42" s="81">
        <f>48886+73000+20000</f>
        <v>141886</v>
      </c>
      <c r="F42" s="191"/>
      <c r="G42" s="247"/>
      <c r="H42" s="261"/>
      <c r="I42" s="192"/>
      <c r="J42" s="192"/>
      <c r="K42" s="194"/>
      <c r="L42" s="192"/>
      <c r="M42" s="243"/>
    </row>
    <row r="43" spans="1:17" s="2" customFormat="1" ht="36.75" customHeight="1">
      <c r="A43" s="263" t="s">
        <v>15</v>
      </c>
      <c r="B43" s="208">
        <v>41222</v>
      </c>
      <c r="C43" s="208">
        <v>44196</v>
      </c>
      <c r="D43" s="81" t="s">
        <v>0</v>
      </c>
      <c r="E43" s="81">
        <v>19800</v>
      </c>
      <c r="F43" s="81"/>
      <c r="G43" s="260">
        <v>1370.5</v>
      </c>
      <c r="H43" s="261"/>
      <c r="I43" s="192">
        <v>1368.05864</v>
      </c>
      <c r="J43" s="192"/>
      <c r="K43" s="192">
        <f>79274.14018+I43</f>
        <v>80642.198820000005</v>
      </c>
      <c r="L43" s="192"/>
      <c r="M43" s="243" t="s">
        <v>183</v>
      </c>
    </row>
    <row r="44" spans="1:17" s="2" customFormat="1" ht="30" customHeight="1">
      <c r="A44" s="263"/>
      <c r="B44" s="208"/>
      <c r="C44" s="208"/>
      <c r="D44" s="81" t="s">
        <v>1</v>
      </c>
      <c r="E44" s="81">
        <v>9000</v>
      </c>
      <c r="F44" s="81"/>
      <c r="G44" s="260"/>
      <c r="H44" s="261"/>
      <c r="I44" s="192"/>
      <c r="J44" s="192"/>
      <c r="K44" s="192"/>
      <c r="L44" s="192"/>
      <c r="M44" s="243"/>
    </row>
    <row r="45" spans="1:17" s="2" customFormat="1" ht="51" customHeight="1">
      <c r="A45" s="64" t="s">
        <v>31</v>
      </c>
      <c r="B45" s="46">
        <v>42223</v>
      </c>
      <c r="C45" s="46">
        <v>44926</v>
      </c>
      <c r="D45" s="81" t="s">
        <v>1</v>
      </c>
      <c r="E45" s="81">
        <v>60000</v>
      </c>
      <c r="F45" s="81"/>
      <c r="G45" s="98">
        <v>10460</v>
      </c>
      <c r="H45" s="97"/>
      <c r="I45" s="150">
        <v>9839.1300699999993</v>
      </c>
      <c r="J45" s="150"/>
      <c r="K45" s="150">
        <f>46080.0495+I45</f>
        <v>55919.17957</v>
      </c>
      <c r="L45" s="150"/>
      <c r="M45" s="55" t="s">
        <v>79</v>
      </c>
    </row>
    <row r="46" spans="1:17" s="2" customFormat="1" ht="38.25" customHeight="1">
      <c r="A46" s="60" t="s">
        <v>32</v>
      </c>
      <c r="B46" s="46">
        <v>42136</v>
      </c>
      <c r="C46" s="46">
        <v>44328</v>
      </c>
      <c r="D46" s="81" t="s">
        <v>4</v>
      </c>
      <c r="E46" s="81">
        <v>4300</v>
      </c>
      <c r="F46" s="81">
        <v>1843</v>
      </c>
      <c r="G46" s="98">
        <v>420</v>
      </c>
      <c r="H46" s="97">
        <v>300</v>
      </c>
      <c r="I46" s="150"/>
      <c r="J46" s="150"/>
      <c r="K46" s="150">
        <f>967.42234+I46</f>
        <v>967.42233999999996</v>
      </c>
      <c r="L46" s="150"/>
      <c r="M46" s="55" t="s">
        <v>80</v>
      </c>
    </row>
    <row r="47" spans="1:17" s="43" customFormat="1" ht="50.15" customHeight="1">
      <c r="A47" s="64" t="s">
        <v>102</v>
      </c>
      <c r="B47" s="34">
        <v>43285</v>
      </c>
      <c r="C47" s="35" t="s">
        <v>110</v>
      </c>
      <c r="D47" s="99" t="s">
        <v>4</v>
      </c>
      <c r="E47" s="99">
        <v>2830</v>
      </c>
      <c r="F47" s="99">
        <v>1870</v>
      </c>
      <c r="G47" s="97">
        <v>3350</v>
      </c>
      <c r="H47" s="97">
        <v>650</v>
      </c>
      <c r="I47" s="150">
        <v>2824.8846699999999</v>
      </c>
      <c r="J47" s="150">
        <v>3219.0819700000002</v>
      </c>
      <c r="K47" s="150">
        <f>I47</f>
        <v>2824.8846699999999</v>
      </c>
      <c r="L47" s="150">
        <f>J47</f>
        <v>3219.0819700000002</v>
      </c>
      <c r="M47" s="55" t="s">
        <v>184</v>
      </c>
      <c r="N47" s="2"/>
      <c r="O47" s="2"/>
      <c r="P47" s="2"/>
      <c r="Q47" s="2"/>
    </row>
    <row r="48" spans="1:17" s="43" customFormat="1" ht="60.75" customHeight="1">
      <c r="A48" s="60" t="s">
        <v>39</v>
      </c>
      <c r="B48" s="46">
        <v>42411</v>
      </c>
      <c r="C48" s="46">
        <v>45291</v>
      </c>
      <c r="D48" s="81" t="s">
        <v>4</v>
      </c>
      <c r="E48" s="81">
        <v>100000</v>
      </c>
      <c r="F48" s="81"/>
      <c r="G48" s="98">
        <v>64000</v>
      </c>
      <c r="H48" s="97"/>
      <c r="I48" s="150">
        <v>56463.999989999997</v>
      </c>
      <c r="J48" s="150"/>
      <c r="K48" s="150">
        <f>179487.59099+I48</f>
        <v>235951.59097999998</v>
      </c>
      <c r="L48" s="150"/>
      <c r="M48" s="55" t="s">
        <v>81</v>
      </c>
      <c r="N48" s="2"/>
      <c r="O48" s="2"/>
      <c r="P48" s="2"/>
      <c r="Q48" s="2"/>
    </row>
    <row r="49" spans="1:17" s="43" customFormat="1" ht="62.25" customHeight="1">
      <c r="A49" s="67" t="s">
        <v>126</v>
      </c>
      <c r="B49" s="270">
        <v>43805</v>
      </c>
      <c r="C49" s="270">
        <v>45291</v>
      </c>
      <c r="D49" s="272" t="s">
        <v>4</v>
      </c>
      <c r="E49" s="272">
        <v>13550</v>
      </c>
      <c r="F49" s="169"/>
      <c r="G49" s="167"/>
      <c r="H49" s="167"/>
      <c r="I49" s="162">
        <v>733.79052000000001</v>
      </c>
      <c r="J49" s="162"/>
      <c r="K49" s="162">
        <f t="shared" ref="K49" si="2">I49</f>
        <v>733.79052000000001</v>
      </c>
      <c r="L49" s="162"/>
      <c r="M49" s="66" t="s">
        <v>128</v>
      </c>
      <c r="N49" s="2"/>
      <c r="O49" s="2"/>
      <c r="P49" s="2"/>
      <c r="Q49" s="2"/>
    </row>
    <row r="50" spans="1:17" s="43" customFormat="1" ht="63.75" customHeight="1">
      <c r="A50" s="67" t="s">
        <v>173</v>
      </c>
      <c r="B50" s="271"/>
      <c r="C50" s="271"/>
      <c r="D50" s="273"/>
      <c r="E50" s="273"/>
      <c r="F50" s="169"/>
      <c r="G50" s="167"/>
      <c r="H50" s="167"/>
      <c r="I50" s="162">
        <v>5871.6539499999999</v>
      </c>
      <c r="J50" s="162"/>
      <c r="K50" s="162">
        <f>I50</f>
        <v>5871.6539499999999</v>
      </c>
      <c r="L50" s="162"/>
      <c r="M50" s="66"/>
      <c r="N50" s="2"/>
      <c r="O50" s="2"/>
      <c r="P50" s="2"/>
      <c r="Q50" s="2"/>
    </row>
    <row r="51" spans="1:17" s="146" customFormat="1" ht="44.25" customHeight="1">
      <c r="A51" s="65" t="s">
        <v>127</v>
      </c>
      <c r="B51" s="34">
        <v>43798</v>
      </c>
      <c r="C51" s="34">
        <v>45280</v>
      </c>
      <c r="D51" s="99" t="s">
        <v>4</v>
      </c>
      <c r="E51" s="99">
        <v>17000</v>
      </c>
      <c r="F51" s="99"/>
      <c r="G51" s="98">
        <v>3500</v>
      </c>
      <c r="H51" s="98"/>
      <c r="I51" s="150">
        <v>43715.906349999997</v>
      </c>
      <c r="J51" s="150"/>
      <c r="K51" s="150">
        <f t="shared" ref="K51:K52" si="3">I51</f>
        <v>43715.906349999997</v>
      </c>
      <c r="L51" s="150"/>
      <c r="M51" s="66" t="s">
        <v>185</v>
      </c>
      <c r="N51" s="2"/>
      <c r="O51" s="2"/>
      <c r="P51" s="2"/>
      <c r="Q51" s="2"/>
    </row>
    <row r="52" spans="1:17" s="43" customFormat="1" ht="49.5" customHeight="1">
      <c r="A52" s="67" t="s">
        <v>145</v>
      </c>
      <c r="B52" s="41">
        <v>44025</v>
      </c>
      <c r="C52" s="41">
        <v>45291</v>
      </c>
      <c r="D52" s="97" t="s">
        <v>4</v>
      </c>
      <c r="E52" s="97">
        <v>5000</v>
      </c>
      <c r="F52" s="98"/>
      <c r="G52" s="98">
        <v>9400</v>
      </c>
      <c r="H52" s="98"/>
      <c r="I52" s="150">
        <v>6474.36913</v>
      </c>
      <c r="J52" s="150"/>
      <c r="K52" s="150">
        <f t="shared" si="3"/>
        <v>6474.36913</v>
      </c>
      <c r="L52" s="150"/>
      <c r="M52" s="66" t="s">
        <v>186</v>
      </c>
      <c r="N52" s="2"/>
      <c r="O52" s="2"/>
      <c r="P52" s="2"/>
      <c r="Q52" s="2"/>
    </row>
    <row r="53" spans="1:17" s="43" customFormat="1" ht="107" customHeight="1">
      <c r="A53" s="64" t="s">
        <v>112</v>
      </c>
      <c r="B53" s="46">
        <v>41884</v>
      </c>
      <c r="C53" s="46">
        <v>44561</v>
      </c>
      <c r="D53" s="81" t="s">
        <v>4</v>
      </c>
      <c r="E53" s="81">
        <v>13200</v>
      </c>
      <c r="F53" s="81"/>
      <c r="G53" s="98"/>
      <c r="H53" s="98"/>
      <c r="I53" s="150"/>
      <c r="J53" s="138"/>
      <c r="K53" s="150">
        <f>30687.92141+I53</f>
        <v>30687.921409999999</v>
      </c>
      <c r="L53" s="150"/>
      <c r="M53" s="66" t="s">
        <v>187</v>
      </c>
      <c r="N53" s="2"/>
      <c r="O53" s="2"/>
      <c r="P53" s="2"/>
      <c r="Q53" s="2"/>
    </row>
    <row r="54" spans="1:17" s="43" customFormat="1" ht="99.75" customHeight="1">
      <c r="A54" s="60" t="s">
        <v>103</v>
      </c>
      <c r="B54" s="34">
        <v>43035</v>
      </c>
      <c r="C54" s="34">
        <v>44925</v>
      </c>
      <c r="D54" s="99" t="s">
        <v>4</v>
      </c>
      <c r="E54" s="99">
        <v>30000</v>
      </c>
      <c r="F54" s="99">
        <v>2000</v>
      </c>
      <c r="G54" s="98">
        <v>400</v>
      </c>
      <c r="H54" s="97">
        <v>300</v>
      </c>
      <c r="I54" s="150">
        <v>923.04899999999998</v>
      </c>
      <c r="J54" s="150">
        <v>1038.0847799999999</v>
      </c>
      <c r="K54" s="150">
        <f>477.03306+I54</f>
        <v>1400.08206</v>
      </c>
      <c r="L54" s="150">
        <f>774.60558+J54</f>
        <v>1812.6903600000001</v>
      </c>
      <c r="M54" s="55" t="s">
        <v>113</v>
      </c>
      <c r="N54" s="2"/>
      <c r="O54" s="2"/>
      <c r="P54" s="2"/>
      <c r="Q54" s="2"/>
    </row>
    <row r="55" spans="1:17" s="43" customFormat="1" ht="55.9" customHeight="1" thickBot="1">
      <c r="A55" s="68" t="s">
        <v>104</v>
      </c>
      <c r="B55" s="42">
        <v>27.112017999999999</v>
      </c>
      <c r="C55" s="42">
        <v>27.112020999999999</v>
      </c>
      <c r="D55" s="100" t="s">
        <v>4</v>
      </c>
      <c r="E55" s="100">
        <v>15000</v>
      </c>
      <c r="F55" s="100"/>
      <c r="G55" s="101">
        <v>27000</v>
      </c>
      <c r="H55" s="102"/>
      <c r="I55" s="139"/>
      <c r="J55" s="139"/>
      <c r="K55" s="150">
        <f>495.57+I55</f>
        <v>495.57</v>
      </c>
      <c r="L55" s="139"/>
      <c r="M55" s="69" t="s">
        <v>162</v>
      </c>
      <c r="N55" s="2"/>
      <c r="O55" s="2"/>
      <c r="P55" s="2"/>
      <c r="Q55" s="2"/>
    </row>
    <row r="56" spans="1:17" s="43" customFormat="1" ht="82.5" customHeight="1" thickBot="1">
      <c r="A56" s="195" t="s">
        <v>8</v>
      </c>
      <c r="B56" s="196"/>
      <c r="C56" s="196"/>
      <c r="D56" s="196"/>
      <c r="E56" s="196"/>
      <c r="F56" s="197"/>
      <c r="G56" s="103">
        <f>SUM(G57:G65)</f>
        <v>121547</v>
      </c>
      <c r="H56" s="103">
        <f>SUM(H57:H65)</f>
        <v>19450</v>
      </c>
      <c r="I56" s="103">
        <f>SUM(I57:I65)</f>
        <v>177964.38079</v>
      </c>
      <c r="J56" s="103">
        <f t="shared" ref="J56:L56" si="4">SUM(J57:J65)</f>
        <v>12601.22381</v>
      </c>
      <c r="K56" s="103">
        <f t="shared" si="4"/>
        <v>1081655.725514</v>
      </c>
      <c r="L56" s="103">
        <f t="shared" si="4"/>
        <v>126941.01546000002</v>
      </c>
      <c r="M56" s="104"/>
      <c r="N56" s="2"/>
      <c r="O56" s="2"/>
      <c r="P56" s="2"/>
      <c r="Q56" s="2"/>
    </row>
    <row r="57" spans="1:17" s="94" customFormat="1" ht="53" customHeight="1">
      <c r="A57" s="62" t="s">
        <v>56</v>
      </c>
      <c r="B57" s="48">
        <v>39626</v>
      </c>
      <c r="C57" s="48">
        <v>43983</v>
      </c>
      <c r="D57" s="80" t="s">
        <v>4</v>
      </c>
      <c r="E57" s="80">
        <v>3700</v>
      </c>
      <c r="F57" s="80">
        <v>1814</v>
      </c>
      <c r="G57" s="105">
        <v>800</v>
      </c>
      <c r="H57" s="106"/>
      <c r="I57" s="106">
        <v>304.50198999999998</v>
      </c>
      <c r="J57" s="107"/>
      <c r="K57" s="106">
        <f>9620.780944+I57</f>
        <v>9925.2829340000008</v>
      </c>
      <c r="L57" s="106">
        <f>3649.68102+J57</f>
        <v>3649.68102</v>
      </c>
      <c r="M57" s="63" t="s">
        <v>163</v>
      </c>
    </row>
    <row r="58" spans="1:17" s="2" customFormat="1" ht="43" customHeight="1">
      <c r="A58" s="187" t="s">
        <v>47</v>
      </c>
      <c r="B58" s="208">
        <v>40673</v>
      </c>
      <c r="C58" s="208">
        <v>44284</v>
      </c>
      <c r="D58" s="81" t="s">
        <v>0</v>
      </c>
      <c r="E58" s="81">
        <f>51343+25047+64205+23005</f>
        <v>163600</v>
      </c>
      <c r="F58" s="191"/>
      <c r="G58" s="236">
        <v>105000</v>
      </c>
      <c r="H58" s="203"/>
      <c r="I58" s="199">
        <v>134653.99158</v>
      </c>
      <c r="J58" s="209"/>
      <c r="K58" s="199">
        <f>682389.2256+I58</f>
        <v>817043.21718000004</v>
      </c>
      <c r="L58" s="199"/>
      <c r="M58" s="243" t="s">
        <v>157</v>
      </c>
    </row>
    <row r="59" spans="1:17" s="2" customFormat="1" ht="200.25" customHeight="1">
      <c r="A59" s="187"/>
      <c r="B59" s="208"/>
      <c r="C59" s="208"/>
      <c r="D59" s="81" t="s">
        <v>1</v>
      </c>
      <c r="E59" s="81">
        <f>108000+43000+99000</f>
        <v>250000</v>
      </c>
      <c r="F59" s="191"/>
      <c r="G59" s="236"/>
      <c r="H59" s="203"/>
      <c r="I59" s="199"/>
      <c r="J59" s="209"/>
      <c r="K59" s="199"/>
      <c r="L59" s="199"/>
      <c r="M59" s="243"/>
    </row>
    <row r="60" spans="1:17" s="2" customFormat="1" ht="271.5" customHeight="1">
      <c r="A60" s="59" t="s">
        <v>67</v>
      </c>
      <c r="B60" s="47" t="s">
        <v>66</v>
      </c>
      <c r="C60" s="47">
        <v>44119</v>
      </c>
      <c r="D60" s="86" t="s">
        <v>4</v>
      </c>
      <c r="E60" s="83">
        <v>100</v>
      </c>
      <c r="F60" s="83"/>
      <c r="G60" s="81"/>
      <c r="H60" s="83"/>
      <c r="I60" s="151"/>
      <c r="J60" s="153"/>
      <c r="K60" s="151">
        <f>35.07802+I60</f>
        <v>35.078020000000002</v>
      </c>
      <c r="L60" s="151"/>
      <c r="M60" s="55" t="s">
        <v>111</v>
      </c>
    </row>
    <row r="61" spans="1:17" s="2" customFormat="1" ht="46.5" customHeight="1">
      <c r="A61" s="60" t="s">
        <v>46</v>
      </c>
      <c r="B61" s="46">
        <v>40773</v>
      </c>
      <c r="C61" s="46">
        <v>44561</v>
      </c>
      <c r="D61" s="108" t="s">
        <v>4</v>
      </c>
      <c r="E61" s="108">
        <f>2988.339+4000+20000</f>
        <v>26988.339</v>
      </c>
      <c r="F61" s="108">
        <f>4500+6728.536+9000+4000+7000</f>
        <v>31228.536</v>
      </c>
      <c r="G61" s="84">
        <v>1500</v>
      </c>
      <c r="H61" s="85">
        <v>750</v>
      </c>
      <c r="I61" s="153">
        <v>8585.47228</v>
      </c>
      <c r="J61" s="153"/>
      <c r="K61" s="151">
        <f>66449.64+I61</f>
        <v>75035.112280000001</v>
      </c>
      <c r="L61" s="153">
        <f>65489.76346+J61</f>
        <v>65489.763460000002</v>
      </c>
      <c r="M61" s="55" t="s">
        <v>82</v>
      </c>
    </row>
    <row r="62" spans="1:17" s="2" customFormat="1" ht="144.75" customHeight="1">
      <c r="A62" s="60" t="s">
        <v>44</v>
      </c>
      <c r="B62" s="46">
        <v>42360</v>
      </c>
      <c r="C62" s="46">
        <v>44012</v>
      </c>
      <c r="D62" s="81" t="s">
        <v>4</v>
      </c>
      <c r="E62" s="81">
        <v>30000</v>
      </c>
      <c r="F62" s="81">
        <v>2000</v>
      </c>
      <c r="G62" s="84">
        <v>14000</v>
      </c>
      <c r="H62" s="85">
        <v>13300</v>
      </c>
      <c r="I62" s="151">
        <v>32223.784790000002</v>
      </c>
      <c r="J62" s="151">
        <v>742.47950000000003</v>
      </c>
      <c r="K62" s="151">
        <f>50830.52773+I62</f>
        <v>83054.312520000007</v>
      </c>
      <c r="L62" s="151">
        <f>4989.21524+J62</f>
        <v>5731.6947400000008</v>
      </c>
      <c r="M62" s="55" t="s">
        <v>83</v>
      </c>
    </row>
    <row r="63" spans="1:17" s="2" customFormat="1" ht="36.75" customHeight="1">
      <c r="A63" s="60" t="s">
        <v>54</v>
      </c>
      <c r="B63" s="46">
        <v>41506</v>
      </c>
      <c r="C63" s="22">
        <v>43332</v>
      </c>
      <c r="D63" s="81" t="s">
        <v>4</v>
      </c>
      <c r="E63" s="81">
        <v>40000</v>
      </c>
      <c r="F63" s="81">
        <v>8000</v>
      </c>
      <c r="G63" s="84">
        <v>247</v>
      </c>
      <c r="H63" s="85">
        <v>51</v>
      </c>
      <c r="I63" s="151">
        <v>200.99529999999999</v>
      </c>
      <c r="J63" s="153">
        <v>41.16771</v>
      </c>
      <c r="K63" s="151">
        <f>94366.09243+I63</f>
        <v>94567.087729999999</v>
      </c>
      <c r="L63" s="151">
        <f>19321.80063+J63</f>
        <v>19362.968340000003</v>
      </c>
      <c r="M63" s="55" t="s">
        <v>84</v>
      </c>
    </row>
    <row r="64" spans="1:17" s="2" customFormat="1" ht="33.75" customHeight="1">
      <c r="A64" s="60" t="s">
        <v>48</v>
      </c>
      <c r="B64" s="46">
        <v>41480</v>
      </c>
      <c r="C64" s="22" t="s">
        <v>165</v>
      </c>
      <c r="D64" s="81" t="s">
        <v>1</v>
      </c>
      <c r="E64" s="81"/>
      <c r="F64" s="81">
        <v>10052.155000000001</v>
      </c>
      <c r="G64" s="84"/>
      <c r="H64" s="85">
        <v>349</v>
      </c>
      <c r="I64" s="151"/>
      <c r="J64" s="153">
        <v>5994.2452800000001</v>
      </c>
      <c r="K64" s="151"/>
      <c r="L64" s="151">
        <f>20889.3313+J64</f>
        <v>26883.576580000001</v>
      </c>
      <c r="M64" s="55" t="s">
        <v>188</v>
      </c>
    </row>
    <row r="65" spans="1:13" s="2" customFormat="1" ht="40.5" customHeight="1" thickBot="1">
      <c r="A65" s="70" t="s">
        <v>146</v>
      </c>
      <c r="B65" s="40">
        <v>43336</v>
      </c>
      <c r="C65" s="40">
        <v>45656</v>
      </c>
      <c r="D65" s="91" t="s">
        <v>4</v>
      </c>
      <c r="E65" s="91">
        <v>40000</v>
      </c>
      <c r="F65" s="91">
        <f>3000+6965</f>
        <v>9965</v>
      </c>
      <c r="G65" s="91"/>
      <c r="H65" s="91">
        <v>5000</v>
      </c>
      <c r="I65" s="135">
        <v>1995.6348499999999</v>
      </c>
      <c r="J65" s="142">
        <v>5823.3313200000002</v>
      </c>
      <c r="K65" s="135">
        <f>I65</f>
        <v>1995.6348499999999</v>
      </c>
      <c r="L65" s="135">
        <f>J65</f>
        <v>5823.3313200000002</v>
      </c>
      <c r="M65" s="58" t="s">
        <v>149</v>
      </c>
    </row>
    <row r="66" spans="1:13" s="2" customFormat="1" ht="60.75" customHeight="1" thickBot="1">
      <c r="A66" s="172" t="s">
        <v>24</v>
      </c>
      <c r="B66" s="173"/>
      <c r="C66" s="173"/>
      <c r="D66" s="173"/>
      <c r="E66" s="173"/>
      <c r="F66" s="174"/>
      <c r="G66" s="92">
        <f>SUM(G67:G78)</f>
        <v>57500</v>
      </c>
      <c r="H66" s="92">
        <f>SUM(H67:H78)</f>
        <v>6500</v>
      </c>
      <c r="I66" s="92">
        <f t="shared" ref="I66:L66" si="5">SUM(I67:I78)</f>
        <v>67003.772169999997</v>
      </c>
      <c r="J66" s="92">
        <f t="shared" si="5"/>
        <v>0</v>
      </c>
      <c r="K66" s="92">
        <f t="shared" si="5"/>
        <v>358371.09270500002</v>
      </c>
      <c r="L66" s="92">
        <f t="shared" si="5"/>
        <v>20950.680079999998</v>
      </c>
      <c r="M66" s="93"/>
    </row>
    <row r="67" spans="1:13" s="94" customFormat="1" ht="30" customHeight="1">
      <c r="A67" s="71" t="s">
        <v>76</v>
      </c>
      <c r="B67" s="33">
        <v>43105</v>
      </c>
      <c r="C67" s="33" t="s">
        <v>77</v>
      </c>
      <c r="D67" s="109" t="s">
        <v>4</v>
      </c>
      <c r="E67" s="109">
        <v>28000</v>
      </c>
      <c r="F67" s="109">
        <v>7000</v>
      </c>
      <c r="G67" s="105">
        <v>20000</v>
      </c>
      <c r="H67" s="106">
        <v>5000</v>
      </c>
      <c r="I67" s="152">
        <v>39441.294269999999</v>
      </c>
      <c r="J67" s="152"/>
      <c r="K67" s="152">
        <f>19889.77292+I67</f>
        <v>59331.067190000002</v>
      </c>
      <c r="L67" s="152"/>
      <c r="M67" s="63" t="s">
        <v>94</v>
      </c>
    </row>
    <row r="68" spans="1:13" s="2" customFormat="1" ht="87.65" customHeight="1">
      <c r="A68" s="64" t="s">
        <v>37</v>
      </c>
      <c r="B68" s="177">
        <v>41572</v>
      </c>
      <c r="C68" s="257">
        <v>44560</v>
      </c>
      <c r="D68" s="181" t="s">
        <v>4</v>
      </c>
      <c r="E68" s="181">
        <f>25200+35000</f>
        <v>60200</v>
      </c>
      <c r="F68" s="81">
        <v>8000</v>
      </c>
      <c r="G68" s="84">
        <v>6000</v>
      </c>
      <c r="H68" s="85"/>
      <c r="I68" s="151">
        <v>1653.8420699999999</v>
      </c>
      <c r="J68" s="151"/>
      <c r="K68" s="151">
        <f>93155.934555+I68</f>
        <v>94809.776624999999</v>
      </c>
      <c r="L68" s="151">
        <f>20950.68008+J68</f>
        <v>20950.680079999998</v>
      </c>
      <c r="M68" s="243" t="s">
        <v>85</v>
      </c>
    </row>
    <row r="69" spans="1:13" s="2" customFormat="1" ht="36.75" customHeight="1">
      <c r="A69" s="64" t="s">
        <v>55</v>
      </c>
      <c r="B69" s="255"/>
      <c r="C69" s="258"/>
      <c r="D69" s="256"/>
      <c r="E69" s="256"/>
      <c r="F69" s="81"/>
      <c r="G69" s="84"/>
      <c r="H69" s="85"/>
      <c r="I69" s="151">
        <v>1362.4742200000001</v>
      </c>
      <c r="J69" s="151"/>
      <c r="K69" s="151">
        <f>53261.51993+I69</f>
        <v>54623.994149999999</v>
      </c>
      <c r="L69" s="151"/>
      <c r="M69" s="243"/>
    </row>
    <row r="70" spans="1:13" s="2" customFormat="1" ht="40.5" customHeight="1">
      <c r="A70" s="60" t="s">
        <v>57</v>
      </c>
      <c r="B70" s="178"/>
      <c r="C70" s="259"/>
      <c r="D70" s="182"/>
      <c r="E70" s="182"/>
      <c r="F70" s="81"/>
      <c r="G70" s="84"/>
      <c r="H70" s="85"/>
      <c r="I70" s="151"/>
      <c r="J70" s="153"/>
      <c r="K70" s="151">
        <f>5120.67471+I70</f>
        <v>5120.6747100000002</v>
      </c>
      <c r="L70" s="151"/>
      <c r="M70" s="55" t="s">
        <v>86</v>
      </c>
    </row>
    <row r="71" spans="1:13" s="2" customFormat="1" ht="41.25" customHeight="1">
      <c r="A71" s="60" t="s">
        <v>38</v>
      </c>
      <c r="B71" s="208">
        <v>41885</v>
      </c>
      <c r="C71" s="208">
        <v>44378</v>
      </c>
      <c r="D71" s="81" t="s">
        <v>1</v>
      </c>
      <c r="E71" s="191">
        <v>60000</v>
      </c>
      <c r="F71" s="81"/>
      <c r="G71" s="84">
        <v>8500</v>
      </c>
      <c r="H71" s="85"/>
      <c r="I71" s="151">
        <v>4172.7238399999997</v>
      </c>
      <c r="J71" s="153"/>
      <c r="K71" s="151">
        <f>118003.72586+I71</f>
        <v>122176.44970000001</v>
      </c>
      <c r="L71" s="151"/>
      <c r="M71" s="55" t="s">
        <v>87</v>
      </c>
    </row>
    <row r="72" spans="1:13" s="2" customFormat="1" ht="95.5" customHeight="1">
      <c r="A72" s="60" t="s">
        <v>58</v>
      </c>
      <c r="B72" s="208"/>
      <c r="C72" s="208"/>
      <c r="D72" s="81" t="s">
        <v>1</v>
      </c>
      <c r="E72" s="254"/>
      <c r="F72" s="81"/>
      <c r="G72" s="84"/>
      <c r="H72" s="85"/>
      <c r="I72" s="151"/>
      <c r="J72" s="153"/>
      <c r="K72" s="151">
        <f>1935.69256+I72</f>
        <v>1935.69256</v>
      </c>
      <c r="L72" s="151"/>
      <c r="M72" s="55" t="s">
        <v>88</v>
      </c>
    </row>
    <row r="73" spans="1:13" s="2" customFormat="1" ht="36" customHeight="1">
      <c r="A73" s="60" t="s">
        <v>97</v>
      </c>
      <c r="B73" s="83"/>
      <c r="C73" s="83"/>
      <c r="D73" s="110" t="s">
        <v>4</v>
      </c>
      <c r="E73" s="81"/>
      <c r="F73" s="81"/>
      <c r="G73" s="84"/>
      <c r="H73" s="85"/>
      <c r="I73" s="151"/>
      <c r="J73" s="153"/>
      <c r="K73" s="140">
        <f>I73</f>
        <v>0</v>
      </c>
      <c r="L73" s="140"/>
      <c r="M73" s="55" t="s">
        <v>98</v>
      </c>
    </row>
    <row r="74" spans="1:13" s="2" customFormat="1" ht="156.75" customHeight="1">
      <c r="A74" s="60" t="s">
        <v>99</v>
      </c>
      <c r="B74" s="83"/>
      <c r="C74" s="83"/>
      <c r="D74" s="110" t="s">
        <v>1</v>
      </c>
      <c r="E74" s="81"/>
      <c r="F74" s="81"/>
      <c r="G74" s="84">
        <v>18000</v>
      </c>
      <c r="H74" s="85"/>
      <c r="I74" s="151">
        <v>20373.43777</v>
      </c>
      <c r="J74" s="153"/>
      <c r="K74" s="151">
        <f t="shared" ref="K74" si="6">I74</f>
        <v>20373.43777</v>
      </c>
      <c r="L74" s="140"/>
      <c r="M74" s="55" t="s">
        <v>100</v>
      </c>
    </row>
    <row r="75" spans="1:13" s="2" customFormat="1" ht="66" customHeight="1">
      <c r="A75" s="60" t="s">
        <v>96</v>
      </c>
      <c r="B75" s="177">
        <v>42838</v>
      </c>
      <c r="C75" s="177">
        <v>44742</v>
      </c>
      <c r="D75" s="181" t="s">
        <v>4</v>
      </c>
      <c r="E75" s="181">
        <v>125000</v>
      </c>
      <c r="F75" s="81">
        <v>9900</v>
      </c>
      <c r="G75" s="84">
        <v>1000</v>
      </c>
      <c r="H75" s="85">
        <v>1500</v>
      </c>
      <c r="I75" s="85"/>
      <c r="J75" s="86"/>
      <c r="K75" s="111">
        <f>I75</f>
        <v>0</v>
      </c>
      <c r="L75" s="111">
        <f>J75</f>
        <v>0</v>
      </c>
      <c r="M75" s="55" t="s">
        <v>105</v>
      </c>
    </row>
    <row r="76" spans="1:13" s="2" customFormat="1" ht="92.5" customHeight="1">
      <c r="A76" s="60" t="s">
        <v>101</v>
      </c>
      <c r="B76" s="255"/>
      <c r="C76" s="255"/>
      <c r="D76" s="256"/>
      <c r="E76" s="256"/>
      <c r="F76" s="81"/>
      <c r="G76" s="84">
        <v>4000</v>
      </c>
      <c r="H76" s="85"/>
      <c r="I76" s="85"/>
      <c r="J76" s="86"/>
      <c r="K76" s="111">
        <f t="shared" ref="K76:K78" si="7">I76</f>
        <v>0</v>
      </c>
      <c r="L76" s="111"/>
      <c r="M76" s="55" t="s">
        <v>141</v>
      </c>
    </row>
    <row r="77" spans="1:13" s="2" customFormat="1" ht="90" customHeight="1">
      <c r="A77" s="59" t="s">
        <v>108</v>
      </c>
      <c r="B77" s="178"/>
      <c r="C77" s="178"/>
      <c r="D77" s="182"/>
      <c r="E77" s="182"/>
      <c r="F77" s="81"/>
      <c r="G77" s="84"/>
      <c r="H77" s="85"/>
      <c r="I77" s="85"/>
      <c r="J77" s="86"/>
      <c r="K77" s="111">
        <f>I77</f>
        <v>0</v>
      </c>
      <c r="L77" s="111"/>
      <c r="M77" s="55" t="s">
        <v>109</v>
      </c>
    </row>
    <row r="78" spans="1:13" s="2" customFormat="1" ht="32.25" customHeight="1" thickBot="1">
      <c r="A78" s="59" t="s">
        <v>107</v>
      </c>
      <c r="B78" s="46"/>
      <c r="C78" s="22"/>
      <c r="D78" s="110" t="s">
        <v>4</v>
      </c>
      <c r="E78" s="81"/>
      <c r="F78" s="81"/>
      <c r="G78" s="84"/>
      <c r="H78" s="85"/>
      <c r="I78" s="85"/>
      <c r="J78" s="86"/>
      <c r="K78" s="111">
        <f t="shared" si="7"/>
        <v>0</v>
      </c>
      <c r="L78" s="111"/>
      <c r="M78" s="55" t="s">
        <v>109</v>
      </c>
    </row>
    <row r="79" spans="1:13" s="2" customFormat="1" ht="43.9" customHeight="1" thickBot="1">
      <c r="A79" s="172" t="s">
        <v>25</v>
      </c>
      <c r="B79" s="173"/>
      <c r="C79" s="173"/>
      <c r="D79" s="173"/>
      <c r="E79" s="173"/>
      <c r="F79" s="174"/>
      <c r="G79" s="112">
        <f>G80+G84+G85+G83</f>
        <v>40500</v>
      </c>
      <c r="H79" s="112">
        <f t="shared" ref="H79:L79" si="8">H80+H84+H85+H83</f>
        <v>4000</v>
      </c>
      <c r="I79" s="112">
        <f t="shared" si="8"/>
        <v>28416.772030000004</v>
      </c>
      <c r="J79" s="112">
        <f t="shared" si="8"/>
        <v>3754.75621</v>
      </c>
      <c r="K79" s="112">
        <f t="shared" si="8"/>
        <v>112148.44871600001</v>
      </c>
      <c r="L79" s="112">
        <f t="shared" si="8"/>
        <v>14218.655699999999</v>
      </c>
      <c r="M79" s="113"/>
    </row>
    <row r="80" spans="1:13" s="2" customFormat="1" ht="36.65" customHeight="1">
      <c r="A80" s="251" t="s">
        <v>18</v>
      </c>
      <c r="B80" s="24">
        <v>42052</v>
      </c>
      <c r="C80" s="48">
        <v>44121</v>
      </c>
      <c r="D80" s="80" t="s">
        <v>0</v>
      </c>
      <c r="E80" s="80">
        <v>8610</v>
      </c>
      <c r="F80" s="80"/>
      <c r="G80" s="237">
        <v>4800</v>
      </c>
      <c r="H80" s="202">
        <v>4000</v>
      </c>
      <c r="I80" s="200">
        <v>5529.8958400000001</v>
      </c>
      <c r="J80" s="200">
        <v>3754.75621</v>
      </c>
      <c r="K80" s="200">
        <f>25190.21929+I80</f>
        <v>30720.115130000002</v>
      </c>
      <c r="L80" s="200">
        <f>10463.89949+J80</f>
        <v>14218.655699999999</v>
      </c>
      <c r="M80" s="248" t="s">
        <v>189</v>
      </c>
    </row>
    <row r="81" spans="1:13" s="94" customFormat="1" ht="41.25" customHeight="1">
      <c r="A81" s="187"/>
      <c r="B81" s="22">
        <v>41978</v>
      </c>
      <c r="C81" s="22">
        <v>42735</v>
      </c>
      <c r="D81" s="81" t="s">
        <v>1</v>
      </c>
      <c r="E81" s="81"/>
      <c r="F81" s="81">
        <v>500</v>
      </c>
      <c r="G81" s="236"/>
      <c r="H81" s="203"/>
      <c r="I81" s="199"/>
      <c r="J81" s="199"/>
      <c r="K81" s="199"/>
      <c r="L81" s="199"/>
      <c r="M81" s="249"/>
    </row>
    <row r="82" spans="1:13" s="2" customFormat="1" ht="39.75" customHeight="1">
      <c r="A82" s="187"/>
      <c r="B82" s="22">
        <v>42052</v>
      </c>
      <c r="C82" s="46">
        <v>43513</v>
      </c>
      <c r="D82" s="81" t="s">
        <v>1</v>
      </c>
      <c r="E82" s="81"/>
      <c r="F82" s="81">
        <v>5300</v>
      </c>
      <c r="G82" s="252"/>
      <c r="H82" s="253"/>
      <c r="I82" s="201"/>
      <c r="J82" s="201"/>
      <c r="K82" s="201"/>
      <c r="L82" s="201"/>
      <c r="M82" s="250"/>
    </row>
    <row r="83" spans="1:13" s="2" customFormat="1" ht="100.5" customHeight="1">
      <c r="A83" s="60" t="s">
        <v>124</v>
      </c>
      <c r="B83" s="47">
        <v>43486</v>
      </c>
      <c r="C83" s="47">
        <v>46022</v>
      </c>
      <c r="D83" s="83" t="s">
        <v>4</v>
      </c>
      <c r="E83" s="83">
        <v>16000</v>
      </c>
      <c r="F83" s="81"/>
      <c r="G83" s="114">
        <v>3600</v>
      </c>
      <c r="H83" s="115"/>
      <c r="I83" s="149">
        <v>3584.4902200000001</v>
      </c>
      <c r="J83" s="149"/>
      <c r="K83" s="149">
        <f>I83</f>
        <v>3584.4902200000001</v>
      </c>
      <c r="L83" s="149"/>
      <c r="M83" s="72" t="s">
        <v>190</v>
      </c>
    </row>
    <row r="84" spans="1:13" s="2" customFormat="1" ht="132.75" customHeight="1">
      <c r="A84" s="187" t="s">
        <v>17</v>
      </c>
      <c r="B84" s="38">
        <v>41964</v>
      </c>
      <c r="C84" s="189">
        <v>44408</v>
      </c>
      <c r="D84" s="116" t="s">
        <v>0</v>
      </c>
      <c r="E84" s="117">
        <v>32400</v>
      </c>
      <c r="F84" s="191"/>
      <c r="G84" s="84">
        <v>18600</v>
      </c>
      <c r="H84" s="84"/>
      <c r="I84" s="151">
        <v>17172.733660000002</v>
      </c>
      <c r="J84" s="153"/>
      <c r="K84" s="151">
        <f>52753.634536+I84</f>
        <v>69926.368195999996</v>
      </c>
      <c r="L84" s="151"/>
      <c r="M84" s="73" t="s">
        <v>89</v>
      </c>
    </row>
    <row r="85" spans="1:13" s="2" customFormat="1" ht="70.150000000000006" customHeight="1" thickBot="1">
      <c r="A85" s="188"/>
      <c r="B85" s="50">
        <v>43920</v>
      </c>
      <c r="C85" s="190"/>
      <c r="D85" s="118" t="s">
        <v>4</v>
      </c>
      <c r="E85" s="119">
        <v>18200</v>
      </c>
      <c r="F85" s="181"/>
      <c r="G85" s="120">
        <v>13500</v>
      </c>
      <c r="H85" s="120"/>
      <c r="I85" s="151">
        <v>2129.6523099999999</v>
      </c>
      <c r="J85" s="153"/>
      <c r="K85" s="151">
        <f>5787.82286+I85</f>
        <v>7917.4751699999997</v>
      </c>
      <c r="L85" s="151"/>
      <c r="M85" s="58" t="s">
        <v>90</v>
      </c>
    </row>
    <row r="86" spans="1:13" s="2" customFormat="1" ht="58.5" customHeight="1" thickBot="1">
      <c r="A86" s="172" t="s">
        <v>26</v>
      </c>
      <c r="B86" s="173"/>
      <c r="C86" s="173"/>
      <c r="D86" s="173"/>
      <c r="E86" s="173"/>
      <c r="F86" s="174"/>
      <c r="G86" s="92">
        <f t="shared" ref="G86:L86" si="9">SUM(G87:G88)</f>
        <v>0</v>
      </c>
      <c r="H86" s="92">
        <f t="shared" si="9"/>
        <v>4600</v>
      </c>
      <c r="I86" s="92">
        <f t="shared" si="9"/>
        <v>0</v>
      </c>
      <c r="J86" s="92">
        <f t="shared" si="9"/>
        <v>3245.2303099999999</v>
      </c>
      <c r="K86" s="92">
        <f t="shared" si="9"/>
        <v>0</v>
      </c>
      <c r="L86" s="92">
        <f t="shared" si="9"/>
        <v>29517.664709999997</v>
      </c>
      <c r="M86" s="93"/>
    </row>
    <row r="87" spans="1:13" s="2" customFormat="1" ht="32.25" customHeight="1">
      <c r="A87" s="62" t="s">
        <v>22</v>
      </c>
      <c r="B87" s="24">
        <v>40119</v>
      </c>
      <c r="C87" s="48">
        <v>44196</v>
      </c>
      <c r="D87" s="80" t="s">
        <v>4</v>
      </c>
      <c r="E87" s="80"/>
      <c r="F87" s="80">
        <v>2267</v>
      </c>
      <c r="G87" s="80">
        <v>0</v>
      </c>
      <c r="H87" s="105">
        <v>2500</v>
      </c>
      <c r="I87" s="106"/>
      <c r="J87" s="154">
        <v>1653.5862299999999</v>
      </c>
      <c r="K87" s="152"/>
      <c r="L87" s="152">
        <f>7453.02009+J87</f>
        <v>9106.606319999999</v>
      </c>
      <c r="M87" s="63" t="s">
        <v>91</v>
      </c>
    </row>
    <row r="88" spans="1:13" s="94" customFormat="1" ht="158.25" customHeight="1" thickBot="1">
      <c r="A88" s="74" t="s">
        <v>16</v>
      </c>
      <c r="B88" s="25">
        <v>40589</v>
      </c>
      <c r="C88" s="25">
        <v>44135</v>
      </c>
      <c r="D88" s="121" t="s">
        <v>4</v>
      </c>
      <c r="E88" s="122"/>
      <c r="F88" s="122">
        <v>8250</v>
      </c>
      <c r="G88" s="122">
        <v>0</v>
      </c>
      <c r="H88" s="122">
        <v>2100</v>
      </c>
      <c r="I88" s="123"/>
      <c r="J88" s="91">
        <v>1591.64408</v>
      </c>
      <c r="K88" s="91"/>
      <c r="L88" s="91">
        <f>18819.41431+J88</f>
        <v>20411.058389999998</v>
      </c>
      <c r="M88" s="75" t="s">
        <v>129</v>
      </c>
    </row>
    <row r="89" spans="1:13" s="2" customFormat="1" ht="183.65" customHeight="1" thickBot="1">
      <c r="A89" s="172" t="s">
        <v>5</v>
      </c>
      <c r="B89" s="173"/>
      <c r="C89" s="173"/>
      <c r="D89" s="173"/>
      <c r="E89" s="173"/>
      <c r="F89" s="174"/>
      <c r="G89" s="112">
        <f>SUM(G90:G103)</f>
        <v>185328</v>
      </c>
      <c r="H89" s="112">
        <f>SUM(H90:H103)</f>
        <v>4864</v>
      </c>
      <c r="I89" s="112">
        <f>SUM(I90:I103)</f>
        <v>177081.03038000004</v>
      </c>
      <c r="J89" s="112">
        <f>SUM(J90:J103)</f>
        <v>19631.872289999999</v>
      </c>
      <c r="K89" s="112">
        <f t="shared" ref="K89:L89" si="10">SUM(K90:K103)</f>
        <v>415333.09804000001</v>
      </c>
      <c r="L89" s="92">
        <f t="shared" si="10"/>
        <v>19631.872289999999</v>
      </c>
      <c r="M89" s="113"/>
    </row>
    <row r="90" spans="1:13" s="2" customFormat="1" ht="31.5" customHeight="1">
      <c r="A90" s="71" t="s">
        <v>154</v>
      </c>
      <c r="B90" s="266">
        <v>43634</v>
      </c>
      <c r="C90" s="266">
        <v>46112</v>
      </c>
      <c r="D90" s="268" t="s">
        <v>4</v>
      </c>
      <c r="E90" s="269">
        <v>90000</v>
      </c>
      <c r="F90" s="80"/>
      <c r="G90" s="105">
        <v>5000</v>
      </c>
      <c r="H90" s="105"/>
      <c r="I90" s="152">
        <v>966.74231999999995</v>
      </c>
      <c r="J90" s="154"/>
      <c r="K90" s="152">
        <f>I90+736.5825</f>
        <v>1703.3248199999998</v>
      </c>
      <c r="L90" s="149"/>
      <c r="M90" s="63" t="s">
        <v>130</v>
      </c>
    </row>
    <row r="91" spans="1:13" s="94" customFormat="1" ht="40.5" customHeight="1">
      <c r="A91" s="132" t="s">
        <v>155</v>
      </c>
      <c r="B91" s="267"/>
      <c r="C91" s="267"/>
      <c r="D91" s="217"/>
      <c r="E91" s="214"/>
      <c r="F91" s="130"/>
      <c r="G91" s="131"/>
      <c r="H91" s="131"/>
      <c r="I91" s="149">
        <v>56.299210000000002</v>
      </c>
      <c r="J91" s="143"/>
      <c r="K91" s="149">
        <f>I91</f>
        <v>56.299210000000002</v>
      </c>
      <c r="L91" s="149"/>
      <c r="M91" s="133" t="s">
        <v>158</v>
      </c>
    </row>
    <row r="92" spans="1:13" s="94" customFormat="1" ht="40.5" customHeight="1">
      <c r="A92" s="157" t="s">
        <v>191</v>
      </c>
      <c r="B92" s="168">
        <v>42713</v>
      </c>
      <c r="C92" s="168">
        <v>45657</v>
      </c>
      <c r="D92" s="165" t="s">
        <v>4</v>
      </c>
      <c r="E92" s="164">
        <v>100000</v>
      </c>
      <c r="F92" s="158"/>
      <c r="G92" s="159"/>
      <c r="H92" s="159"/>
      <c r="I92" s="161"/>
      <c r="J92" s="143"/>
      <c r="K92" s="161"/>
      <c r="L92" s="161"/>
      <c r="M92" s="156" t="s">
        <v>192</v>
      </c>
    </row>
    <row r="93" spans="1:13" s="94" customFormat="1" ht="40.5" customHeight="1">
      <c r="A93" s="76" t="s">
        <v>151</v>
      </c>
      <c r="B93" s="36"/>
      <c r="C93" s="36"/>
      <c r="D93" s="124" t="s">
        <v>4</v>
      </c>
      <c r="E93" s="125"/>
      <c r="F93" s="125"/>
      <c r="G93" s="115">
        <v>29000</v>
      </c>
      <c r="H93" s="115">
        <v>1000</v>
      </c>
      <c r="I93" s="149"/>
      <c r="J93" s="143"/>
      <c r="K93" s="149"/>
      <c r="L93" s="149"/>
      <c r="M93" s="77" t="s">
        <v>150</v>
      </c>
    </row>
    <row r="94" spans="1:13" s="94" customFormat="1" ht="45.65" customHeight="1">
      <c r="A94" s="76" t="s">
        <v>142</v>
      </c>
      <c r="B94" s="36">
        <v>43493</v>
      </c>
      <c r="C94" s="36">
        <v>44926</v>
      </c>
      <c r="D94" s="124" t="s">
        <v>4</v>
      </c>
      <c r="E94" s="125">
        <v>10000</v>
      </c>
      <c r="F94" s="125"/>
      <c r="G94" s="114">
        <v>0</v>
      </c>
      <c r="H94" s="114">
        <v>0</v>
      </c>
      <c r="I94" s="149"/>
      <c r="J94" s="143">
        <v>15257.5</v>
      </c>
      <c r="K94" s="149"/>
      <c r="L94" s="149">
        <f>J94</f>
        <v>15257.5</v>
      </c>
      <c r="M94" s="77" t="s">
        <v>144</v>
      </c>
    </row>
    <row r="95" spans="1:13" s="94" customFormat="1" ht="160.5" customHeight="1">
      <c r="A95" s="76" t="s">
        <v>125</v>
      </c>
      <c r="B95" s="36">
        <v>43630</v>
      </c>
      <c r="C95" s="36">
        <v>45000</v>
      </c>
      <c r="D95" s="124" t="s">
        <v>4</v>
      </c>
      <c r="E95" s="125">
        <v>20000</v>
      </c>
      <c r="F95" s="125"/>
      <c r="G95" s="114">
        <v>1300</v>
      </c>
      <c r="H95" s="115">
        <v>1900</v>
      </c>
      <c r="I95" s="149"/>
      <c r="J95" s="143"/>
      <c r="K95" s="140">
        <f t="shared" ref="K95" si="11">I95</f>
        <v>0</v>
      </c>
      <c r="L95" s="144">
        <f>J95</f>
        <v>0</v>
      </c>
      <c r="M95" s="78" t="s">
        <v>131</v>
      </c>
    </row>
    <row r="96" spans="1:13" s="2" customFormat="1" ht="44.25" customHeight="1">
      <c r="A96" s="59" t="s">
        <v>49</v>
      </c>
      <c r="B96" s="46">
        <v>42661</v>
      </c>
      <c r="C96" s="46">
        <v>44742</v>
      </c>
      <c r="D96" s="81" t="s">
        <v>4</v>
      </c>
      <c r="E96" s="81">
        <v>14000</v>
      </c>
      <c r="F96" s="81"/>
      <c r="G96" s="84">
        <v>1186</v>
      </c>
      <c r="H96" s="85">
        <v>314</v>
      </c>
      <c r="I96" s="148">
        <v>903.81631000000004</v>
      </c>
      <c r="J96" s="151"/>
      <c r="K96" s="151">
        <f>I96</f>
        <v>903.81631000000004</v>
      </c>
      <c r="L96" s="140">
        <v>0</v>
      </c>
      <c r="M96" s="55" t="s">
        <v>152</v>
      </c>
    </row>
    <row r="97" spans="1:13" s="2" customFormat="1" ht="43.5" customHeight="1">
      <c r="A97" s="59" t="s">
        <v>40</v>
      </c>
      <c r="B97" s="47">
        <v>42346</v>
      </c>
      <c r="C97" s="47">
        <v>43228</v>
      </c>
      <c r="D97" s="83" t="s">
        <v>4</v>
      </c>
      <c r="E97" s="83">
        <v>82821</v>
      </c>
      <c r="F97" s="81"/>
      <c r="G97" s="84">
        <v>5000</v>
      </c>
      <c r="H97" s="85"/>
      <c r="I97" s="151">
        <v>24374.76626</v>
      </c>
      <c r="J97" s="151"/>
      <c r="K97" s="151">
        <f>226048.34892+I97</f>
        <v>250423.11517999999</v>
      </c>
      <c r="L97" s="151"/>
      <c r="M97" s="55" t="s">
        <v>62</v>
      </c>
    </row>
    <row r="98" spans="1:13" s="2" customFormat="1" ht="39" customHeight="1">
      <c r="A98" s="79" t="s">
        <v>61</v>
      </c>
      <c r="B98" s="47">
        <v>42929</v>
      </c>
      <c r="C98" s="47">
        <v>44025</v>
      </c>
      <c r="D98" s="83" t="s">
        <v>4</v>
      </c>
      <c r="E98" s="83">
        <v>5500</v>
      </c>
      <c r="F98" s="81">
        <v>1500</v>
      </c>
      <c r="G98" s="84">
        <v>2500</v>
      </c>
      <c r="H98" s="85">
        <v>1650</v>
      </c>
      <c r="I98" s="151">
        <v>6777.6404400000001</v>
      </c>
      <c r="J98" s="151">
        <v>4374.3722900000002</v>
      </c>
      <c r="K98" s="151">
        <f>8749.28036+I98</f>
        <v>15526.9208</v>
      </c>
      <c r="L98" s="151">
        <f>J98</f>
        <v>4374.3722900000002</v>
      </c>
      <c r="M98" s="55" t="s">
        <v>193</v>
      </c>
    </row>
    <row r="99" spans="1:13" s="2" customFormat="1" ht="54" customHeight="1">
      <c r="A99" s="79" t="s">
        <v>106</v>
      </c>
      <c r="B99" s="45" t="s">
        <v>139</v>
      </c>
      <c r="C99" s="45" t="s">
        <v>140</v>
      </c>
      <c r="D99" s="126"/>
      <c r="E99" s="126"/>
      <c r="F99" s="89"/>
      <c r="G99" s="84">
        <v>100000</v>
      </c>
      <c r="H99" s="119"/>
      <c r="I99" s="148">
        <v>116796.5739</v>
      </c>
      <c r="J99" s="148"/>
      <c r="K99" s="151">
        <f>I99</f>
        <v>116796.5739</v>
      </c>
      <c r="L99" s="141"/>
      <c r="M99" s="58" t="s">
        <v>194</v>
      </c>
    </row>
    <row r="100" spans="1:13" s="2" customFormat="1" ht="47.25" customHeight="1">
      <c r="A100" s="79" t="s">
        <v>147</v>
      </c>
      <c r="B100" s="49">
        <v>43950</v>
      </c>
      <c r="C100" s="49">
        <v>45280</v>
      </c>
      <c r="D100" s="85" t="s">
        <v>4</v>
      </c>
      <c r="E100" s="119">
        <v>75000</v>
      </c>
      <c r="F100" s="120"/>
      <c r="G100" s="84">
        <v>15000</v>
      </c>
      <c r="H100" s="119"/>
      <c r="I100" s="148">
        <v>1906.85</v>
      </c>
      <c r="J100" s="148"/>
      <c r="K100" s="141"/>
      <c r="L100" s="141"/>
      <c r="M100" s="58" t="s">
        <v>164</v>
      </c>
    </row>
    <row r="101" spans="1:13" s="2" customFormat="1" ht="51" customHeight="1">
      <c r="A101" s="170" t="s">
        <v>171</v>
      </c>
      <c r="B101" s="166">
        <v>44074</v>
      </c>
      <c r="C101" s="166">
        <v>46022</v>
      </c>
      <c r="D101" s="163" t="s">
        <v>4</v>
      </c>
      <c r="E101" s="160">
        <v>35700</v>
      </c>
      <c r="F101" s="160"/>
      <c r="G101" s="163"/>
      <c r="H101" s="160"/>
      <c r="I101" s="160">
        <v>355.83974999999998</v>
      </c>
      <c r="J101" s="160"/>
      <c r="K101" s="163">
        <f>I101</f>
        <v>355.83974999999998</v>
      </c>
      <c r="L101" s="155"/>
      <c r="M101" s="147" t="s">
        <v>172</v>
      </c>
    </row>
    <row r="102" spans="1:13" s="2" customFormat="1" ht="51" customHeight="1">
      <c r="A102" s="79" t="s">
        <v>33</v>
      </c>
      <c r="B102" s="189">
        <v>42457</v>
      </c>
      <c r="C102" s="189">
        <v>44316</v>
      </c>
      <c r="D102" s="213" t="s">
        <v>1</v>
      </c>
      <c r="E102" s="213">
        <v>23500</v>
      </c>
      <c r="F102" s="89"/>
      <c r="G102" s="84">
        <v>20000</v>
      </c>
      <c r="H102" s="119"/>
      <c r="I102" s="148">
        <v>18921.103469999998</v>
      </c>
      <c r="J102" s="148"/>
      <c r="K102" s="151">
        <f>4624.70588+I102</f>
        <v>23545.80935</v>
      </c>
      <c r="L102" s="141"/>
      <c r="M102" s="58" t="s">
        <v>115</v>
      </c>
    </row>
    <row r="103" spans="1:13" s="2" customFormat="1" ht="84.75" customHeight="1" thickBot="1">
      <c r="A103" s="68" t="s">
        <v>133</v>
      </c>
      <c r="B103" s="264"/>
      <c r="C103" s="264"/>
      <c r="D103" s="265"/>
      <c r="E103" s="265"/>
      <c r="F103" s="127"/>
      <c r="G103" s="128">
        <v>6342</v>
      </c>
      <c r="H103" s="129"/>
      <c r="I103" s="135">
        <v>6021.3987200000001</v>
      </c>
      <c r="J103" s="135"/>
      <c r="K103" s="135">
        <f>I103</f>
        <v>6021.3987200000001</v>
      </c>
      <c r="L103" s="135"/>
      <c r="M103" s="69" t="s">
        <v>132</v>
      </c>
    </row>
    <row r="104" spans="1:13" s="2" customFormat="1" ht="51" customHeight="1" thickBot="1">
      <c r="A104" s="26"/>
      <c r="B104" s="27"/>
      <c r="C104" s="27"/>
      <c r="D104" s="28"/>
      <c r="E104" s="29"/>
      <c r="F104" s="23" t="s">
        <v>143</v>
      </c>
      <c r="G104" s="23">
        <f t="shared" ref="G104:L104" si="12">G89+G86+G79+G56+G37+G7+G66</f>
        <v>1032570.5</v>
      </c>
      <c r="H104" s="23">
        <f t="shared" si="12"/>
        <v>48349</v>
      </c>
      <c r="I104" s="23">
        <f t="shared" si="12"/>
        <v>1381158.2442500002</v>
      </c>
      <c r="J104" s="23">
        <f t="shared" si="12"/>
        <v>56923.766040000002</v>
      </c>
      <c r="K104" s="23">
        <f t="shared" si="12"/>
        <v>6314136.1803750014</v>
      </c>
      <c r="L104" s="23">
        <f t="shared" si="12"/>
        <v>282664.45888000005</v>
      </c>
      <c r="M104" s="32"/>
    </row>
    <row r="105" spans="1:13" s="8" customFormat="1" ht="30" customHeight="1">
      <c r="A105" s="9"/>
      <c r="B105" s="7"/>
      <c r="C105" s="7"/>
      <c r="D105" s="9"/>
      <c r="E105" s="9"/>
      <c r="F105" s="9"/>
      <c r="G105" s="9"/>
      <c r="H105" s="9"/>
      <c r="I105" s="9"/>
      <c r="J105" s="9"/>
      <c r="K105" s="9"/>
      <c r="L105" s="9"/>
      <c r="M105" s="12"/>
    </row>
    <row r="106" spans="1:13" s="5" customFormat="1" ht="15.75" customHeight="1">
      <c r="A106" s="171" t="s">
        <v>30</v>
      </c>
      <c r="B106" s="171"/>
      <c r="C106" s="171"/>
      <c r="D106" s="171"/>
      <c r="E106" s="171"/>
      <c r="F106" s="171"/>
      <c r="G106" s="171"/>
      <c r="H106" s="171"/>
      <c r="I106" s="171"/>
      <c r="J106" s="171"/>
      <c r="K106" s="171"/>
      <c r="L106" s="171"/>
      <c r="M106" s="12"/>
    </row>
    <row r="107" spans="1:13" ht="26.25" customHeight="1">
      <c r="A107" s="1" t="s">
        <v>34</v>
      </c>
      <c r="B107" s="2"/>
      <c r="D107" s="1"/>
      <c r="E107" s="1"/>
      <c r="F107" s="1"/>
      <c r="H107" s="1"/>
      <c r="I107" s="1"/>
      <c r="J107" s="1"/>
      <c r="K107" s="1"/>
      <c r="L107" s="1"/>
    </row>
    <row r="108" spans="1:13" ht="24.75" customHeight="1">
      <c r="A108" s="1"/>
      <c r="B108" s="2"/>
      <c r="D108" s="1"/>
      <c r="E108" s="1"/>
      <c r="F108" s="1"/>
      <c r="H108" s="1"/>
      <c r="I108" s="1"/>
      <c r="J108" s="10"/>
      <c r="K108" s="1"/>
      <c r="L108" s="10"/>
    </row>
    <row r="109" spans="1:13" ht="24" customHeight="1">
      <c r="G109" s="10"/>
      <c r="H109" s="11"/>
      <c r="I109" s="11"/>
      <c r="J109" s="11"/>
      <c r="K109" s="11"/>
      <c r="L109" s="11"/>
    </row>
    <row r="110" spans="1:13">
      <c r="F110" s="12"/>
      <c r="G110" s="10"/>
      <c r="H110" s="10"/>
      <c r="I110" s="10">
        <f>I104-'[1]WEB-2020'!$I$104</f>
        <v>0</v>
      </c>
      <c r="J110" s="10">
        <f>J104-'[1]WEB-2020'!$J$104</f>
        <v>0</v>
      </c>
      <c r="K110" s="10">
        <f>K104-'[1]WEB-2020'!$K$104</f>
        <v>0</v>
      </c>
      <c r="L110" s="10">
        <f>L104-'[1]WEB-2020'!$L$104</f>
        <v>0</v>
      </c>
      <c r="M110" s="1"/>
    </row>
    <row r="111" spans="1:13" ht="39" customHeight="1"/>
    <row r="112" spans="1:13" ht="21.75" customHeight="1"/>
  </sheetData>
  <mergeCells count="163">
    <mergeCell ref="A14:A15"/>
    <mergeCell ref="B30:B31"/>
    <mergeCell ref="F30:F31"/>
    <mergeCell ref="A41:A42"/>
    <mergeCell ref="B41:B42"/>
    <mergeCell ref="A43:A44"/>
    <mergeCell ref="B102:B103"/>
    <mergeCell ref="C102:C103"/>
    <mergeCell ref="D102:D103"/>
    <mergeCell ref="E102:E103"/>
    <mergeCell ref="B90:B91"/>
    <mergeCell ref="C90:C91"/>
    <mergeCell ref="D90:D91"/>
    <mergeCell ref="E90:E91"/>
    <mergeCell ref="B49:B50"/>
    <mergeCell ref="C49:C50"/>
    <mergeCell ref="D49:D50"/>
    <mergeCell ref="E49:E50"/>
    <mergeCell ref="M68:M69"/>
    <mergeCell ref="A10:A11"/>
    <mergeCell ref="A58:A59"/>
    <mergeCell ref="B58:B59"/>
    <mergeCell ref="C58:C59"/>
    <mergeCell ref="F58:F59"/>
    <mergeCell ref="H58:H59"/>
    <mergeCell ref="C41:C42"/>
    <mergeCell ref="A37:F37"/>
    <mergeCell ref="L30:L31"/>
    <mergeCell ref="I12:I13"/>
    <mergeCell ref="K30:K31"/>
    <mergeCell ref="J30:J31"/>
    <mergeCell ref="B68:B70"/>
    <mergeCell ref="C68:C70"/>
    <mergeCell ref="D68:D70"/>
    <mergeCell ref="E68:E70"/>
    <mergeCell ref="B43:B44"/>
    <mergeCell ref="C43:C44"/>
    <mergeCell ref="G43:G44"/>
    <mergeCell ref="H43:H44"/>
    <mergeCell ref="I43:I44"/>
    <mergeCell ref="H41:H42"/>
    <mergeCell ref="G30:G31"/>
    <mergeCell ref="M80:M82"/>
    <mergeCell ref="A80:A82"/>
    <mergeCell ref="G80:G82"/>
    <mergeCell ref="H80:H82"/>
    <mergeCell ref="I80:I82"/>
    <mergeCell ref="J80:J82"/>
    <mergeCell ref="B71:B72"/>
    <mergeCell ref="C71:C72"/>
    <mergeCell ref="E71:E72"/>
    <mergeCell ref="B75:B77"/>
    <mergeCell ref="C75:C77"/>
    <mergeCell ref="D75:D77"/>
    <mergeCell ref="E75:E77"/>
    <mergeCell ref="K80:K82"/>
    <mergeCell ref="A79:F79"/>
    <mergeCell ref="M4:M5"/>
    <mergeCell ref="M8:M9"/>
    <mergeCell ref="M12:M13"/>
    <mergeCell ref="M30:M31"/>
    <mergeCell ref="M41:M42"/>
    <mergeCell ref="M10:M11"/>
    <mergeCell ref="M58:M59"/>
    <mergeCell ref="J58:J59"/>
    <mergeCell ref="G58:G59"/>
    <mergeCell ref="I58:I59"/>
    <mergeCell ref="K58:K59"/>
    <mergeCell ref="L58:L59"/>
    <mergeCell ref="I5:J5"/>
    <mergeCell ref="K5:L5"/>
    <mergeCell ref="K4:L4"/>
    <mergeCell ref="I4:J4"/>
    <mergeCell ref="L41:L42"/>
    <mergeCell ref="M43:M44"/>
    <mergeCell ref="J43:J44"/>
    <mergeCell ref="K43:K44"/>
    <mergeCell ref="L43:L44"/>
    <mergeCell ref="I41:I42"/>
    <mergeCell ref="G41:G42"/>
    <mergeCell ref="K10:K11"/>
    <mergeCell ref="A8:A9"/>
    <mergeCell ref="A30:A31"/>
    <mergeCell ref="G4:H4"/>
    <mergeCell ref="G5:H5"/>
    <mergeCell ref="C4:C5"/>
    <mergeCell ref="D4:F4"/>
    <mergeCell ref="A12:A13"/>
    <mergeCell ref="A4:A5"/>
    <mergeCell ref="B4:B5"/>
    <mergeCell ref="D5:F5"/>
    <mergeCell ref="A7:F7"/>
    <mergeCell ref="G10:G11"/>
    <mergeCell ref="G8:G9"/>
    <mergeCell ref="B10:B11"/>
    <mergeCell ref="C10:C11"/>
    <mergeCell ref="G12:G13"/>
    <mergeCell ref="C30:C31"/>
    <mergeCell ref="F12:F13"/>
    <mergeCell ref="B8:B9"/>
    <mergeCell ref="G14:G15"/>
    <mergeCell ref="B14:B15"/>
    <mergeCell ref="C14:C15"/>
    <mergeCell ref="A18:A19"/>
    <mergeCell ref="B12:B13"/>
    <mergeCell ref="C8:C9"/>
    <mergeCell ref="C12:C13"/>
    <mergeCell ref="J10:J11"/>
    <mergeCell ref="I10:I11"/>
    <mergeCell ref="F8:F9"/>
    <mergeCell ref="J8:J9"/>
    <mergeCell ref="H12:H13"/>
    <mergeCell ref="H10:H11"/>
    <mergeCell ref="B20:B21"/>
    <mergeCell ref="C20:C21"/>
    <mergeCell ref="D20:D21"/>
    <mergeCell ref="E19:E21"/>
    <mergeCell ref="F14:F15"/>
    <mergeCell ref="I14:I15"/>
    <mergeCell ref="G18:G19"/>
    <mergeCell ref="M18:M19"/>
    <mergeCell ref="L8:L9"/>
    <mergeCell ref="L12:L13"/>
    <mergeCell ref="L10:L11"/>
    <mergeCell ref="H8:H9"/>
    <mergeCell ref="J12:J13"/>
    <mergeCell ref="I8:I9"/>
    <mergeCell ref="M14:M15"/>
    <mergeCell ref="L14:L15"/>
    <mergeCell ref="K14:K15"/>
    <mergeCell ref="H14:H15"/>
    <mergeCell ref="J14:J15"/>
    <mergeCell ref="H18:H19"/>
    <mergeCell ref="I18:I19"/>
    <mergeCell ref="J18:J19"/>
    <mergeCell ref="K18:K19"/>
    <mergeCell ref="L18:L19"/>
    <mergeCell ref="K8:K9"/>
    <mergeCell ref="K12:K13"/>
    <mergeCell ref="A106:L106"/>
    <mergeCell ref="A89:F89"/>
    <mergeCell ref="A86:F86"/>
    <mergeCell ref="M25:M26"/>
    <mergeCell ref="C25:C26"/>
    <mergeCell ref="A25:A26"/>
    <mergeCell ref="D25:D26"/>
    <mergeCell ref="G25:G26"/>
    <mergeCell ref="H25:H26"/>
    <mergeCell ref="I25:I26"/>
    <mergeCell ref="J25:J26"/>
    <mergeCell ref="K25:K26"/>
    <mergeCell ref="L25:L26"/>
    <mergeCell ref="A84:A85"/>
    <mergeCell ref="C84:C85"/>
    <mergeCell ref="F84:F85"/>
    <mergeCell ref="F41:F42"/>
    <mergeCell ref="J41:J42"/>
    <mergeCell ref="K41:K42"/>
    <mergeCell ref="A56:F56"/>
    <mergeCell ref="A66:F66"/>
    <mergeCell ref="H30:H31"/>
    <mergeCell ref="I30:I31"/>
    <mergeCell ref="L80:L82"/>
  </mergeCells>
  <printOptions horizontalCentered="1"/>
  <pageMargins left="0.23622047244094491" right="0.23622047244094491" top="0.23622047244094491" bottom="0.23622047244094491" header="0" footer="0.31496062992125984"/>
  <pageSetup paperSize="9" scale="17" fitToHeight="0" orientation="landscape" r:id="rId1"/>
  <headerFooter alignWithMargins="0"/>
  <rowBreaks count="1" manualBreakCount="1">
    <brk id="7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annrusieshvili@yahoo.com</cp:lastModifiedBy>
  <cp:lastPrinted>2021-04-12T11:56:57Z</cp:lastPrinted>
  <dcterms:created xsi:type="dcterms:W3CDTF">2011-04-14T08:42:21Z</dcterms:created>
  <dcterms:modified xsi:type="dcterms:W3CDTF">2021-04-12T11:57:38Z</dcterms:modified>
</cp:coreProperties>
</file>