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WEB\"/>
    </mc:Choice>
  </mc:AlternateContent>
  <bookViews>
    <workbookView xWindow="0" yWindow="0" windowWidth="23040" windowHeight="9336" tabRatio="177"/>
  </bookViews>
  <sheets>
    <sheet name="For Website_ENG" sheetId="12" r:id="rId1"/>
  </sheets>
  <externalReferences>
    <externalReference r:id="rId2"/>
    <externalReference r:id="rId3"/>
    <externalReference r:id="rId4"/>
  </externalReferences>
  <definedNames>
    <definedName name="_xlnm.Print_Area" localSheetId="0">'For Website_ENG'!$A$1:$M$101</definedName>
    <definedName name="_xlnm.Print_Titles" localSheetId="0">'For Website_ENG'!$A:$A,'For Website_ENG'!$4:$6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3" i="12" l="1"/>
  <c r="J103" i="12"/>
  <c r="I103" i="12"/>
  <c r="I97" i="12"/>
  <c r="K97" i="12" s="1"/>
  <c r="K96" i="12"/>
  <c r="K94" i="12"/>
  <c r="K93" i="12"/>
  <c r="K92" i="12"/>
  <c r="L91" i="12"/>
  <c r="K91" i="12"/>
  <c r="L90" i="12"/>
  <c r="K89" i="12"/>
  <c r="K84" i="12"/>
  <c r="K83" i="12"/>
  <c r="K82" i="12"/>
  <c r="L79" i="12"/>
  <c r="K79" i="12"/>
  <c r="K66" i="12"/>
  <c r="L64" i="12"/>
  <c r="L63" i="12"/>
  <c r="K63" i="12"/>
  <c r="L62" i="12"/>
  <c r="K62" i="12"/>
  <c r="L61" i="12"/>
  <c r="K61" i="12"/>
  <c r="K58" i="12"/>
  <c r="K55" i="12"/>
  <c r="L54" i="12"/>
  <c r="K54" i="12"/>
  <c r="K53" i="12"/>
  <c r="K52" i="12"/>
  <c r="K51" i="12"/>
  <c r="K50" i="12"/>
  <c r="K49" i="12"/>
  <c r="K48" i="12"/>
  <c r="L47" i="12"/>
  <c r="K47" i="12"/>
  <c r="K46" i="12"/>
  <c r="K45" i="12"/>
  <c r="K43" i="12" l="1"/>
  <c r="K41" i="12"/>
  <c r="L40" i="12"/>
  <c r="K40" i="12"/>
  <c r="K39" i="12"/>
  <c r="L38" i="12"/>
  <c r="K38" i="12"/>
  <c r="K35" i="12"/>
  <c r="K34" i="12"/>
  <c r="K33" i="12"/>
  <c r="K32" i="12"/>
  <c r="K30" i="12"/>
  <c r="K27" i="12"/>
  <c r="K25" i="12"/>
  <c r="K24" i="12"/>
  <c r="K21" i="12"/>
  <c r="K20" i="12"/>
  <c r="K18" i="12"/>
  <c r="L17" i="12"/>
  <c r="K17" i="12"/>
  <c r="K16" i="12"/>
  <c r="K14" i="12"/>
  <c r="K12" i="12"/>
  <c r="K10" i="12"/>
  <c r="K8" i="12"/>
  <c r="G78" i="12" l="1"/>
  <c r="H88" i="12"/>
  <c r="I88" i="12"/>
  <c r="J88" i="12"/>
  <c r="L88" i="12"/>
  <c r="G88" i="12"/>
  <c r="K88" i="12"/>
  <c r="L86" i="12"/>
  <c r="K68" i="12"/>
  <c r="L67" i="12"/>
  <c r="K67" i="12"/>
  <c r="K60" i="12"/>
  <c r="K36" i="12"/>
  <c r="L87" i="12" l="1"/>
  <c r="L57" i="12"/>
  <c r="K57" i="12"/>
  <c r="H78" i="12" l="1"/>
  <c r="I78" i="12"/>
  <c r="J78" i="12"/>
  <c r="K78" i="12"/>
  <c r="L78" i="12"/>
  <c r="H65" i="12"/>
  <c r="I65" i="12"/>
  <c r="J65" i="12"/>
  <c r="G65" i="12"/>
  <c r="K77" i="12"/>
  <c r="K76" i="12"/>
  <c r="K75" i="12"/>
  <c r="L74" i="12"/>
  <c r="L65" i="12" s="1"/>
  <c r="K74" i="12"/>
  <c r="K73" i="12"/>
  <c r="K72" i="12"/>
  <c r="K71" i="12"/>
  <c r="K70" i="12"/>
  <c r="K69" i="12"/>
  <c r="K65" i="12" l="1"/>
  <c r="I7" i="12"/>
  <c r="G37" i="12" l="1"/>
  <c r="J37" i="12" l="1"/>
  <c r="I37" i="12"/>
  <c r="H37" i="12"/>
  <c r="G56" i="12"/>
  <c r="L37" i="12" l="1"/>
  <c r="K37" i="12"/>
  <c r="I56" i="12" l="1"/>
  <c r="E67" i="12" l="1"/>
  <c r="F61" i="12"/>
  <c r="E61" i="12"/>
  <c r="E59" i="12"/>
  <c r="E58" i="12"/>
  <c r="E42" i="12"/>
  <c r="E41" i="12"/>
  <c r="J7" i="12" l="1"/>
  <c r="H7" i="12"/>
  <c r="G7" i="12"/>
  <c r="L7" i="12"/>
  <c r="K7" i="12" l="1"/>
  <c r="G85" i="12" l="1"/>
  <c r="G98" i="12" s="1"/>
  <c r="H85" i="12"/>
  <c r="I85" i="12"/>
  <c r="I98" i="12" s="1"/>
  <c r="J85" i="12"/>
  <c r="K85" i="12"/>
  <c r="L85" i="12"/>
  <c r="H98" i="12" l="1"/>
  <c r="H56" i="12"/>
  <c r="J56" i="12"/>
  <c r="J98" i="12" s="1"/>
  <c r="K56" i="12"/>
  <c r="K98" i="12" s="1"/>
  <c r="L56" i="12"/>
  <c r="L98" i="12" s="1"/>
  <c r="L103" i="12" s="1"/>
  <c r="H103" i="12" l="1"/>
  <c r="G103" i="12"/>
</calcChain>
</file>

<file path=xl/sharedStrings.xml><?xml version="1.0" encoding="utf-8"?>
<sst xmlns="http://schemas.openxmlformats.org/spreadsheetml/2006/main" count="257" uniqueCount="181">
  <si>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</si>
  <si>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</si>
  <si>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</si>
  <si>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</si>
  <si>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</si>
  <si>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</si>
  <si>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</si>
  <si>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</si>
  <si>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</si>
  <si>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</si>
  <si>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</si>
  <si>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</si>
  <si>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</si>
  <si>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</si>
  <si>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</si>
  <si>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</si>
  <si>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</si>
  <si>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</si>
  <si>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</si>
  <si>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</si>
  <si>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</si>
  <si>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Second Regional and Municipal Infrastructure Development Project (WB)</t>
  </si>
  <si>
    <t>Development of Protected Areas (CNF)</t>
  </si>
  <si>
    <t>Road Infrastructure</t>
  </si>
  <si>
    <t>Energy Infrastructure</t>
  </si>
  <si>
    <t>Agriculture Sector</t>
  </si>
  <si>
    <t>Environment Protection</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</si>
  <si>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</si>
  <si>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</si>
  <si>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</si>
  <si>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</si>
  <si>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</si>
  <si>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</si>
  <si>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</si>
  <si>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</si>
  <si>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</si>
  <si>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</si>
  <si>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</si>
  <si>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</si>
  <si>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</si>
  <si>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</si>
  <si>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</si>
  <si>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</si>
  <si>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</si>
  <si>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</si>
  <si>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</si>
  <si>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</si>
  <si>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</si>
  <si>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</si>
  <si>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</si>
  <si>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</si>
  <si>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</si>
  <si>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</si>
  <si>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</si>
  <si>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</si>
  <si>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</si>
  <si>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</si>
  <si>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</si>
  <si>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</si>
  <si>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</si>
  <si>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</si>
  <si>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</si>
  <si>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</si>
  <si>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</si>
  <si>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</si>
  <si>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</si>
  <si>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</si>
  <si>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</si>
  <si>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</si>
  <si>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</si>
  <si>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</si>
  <si>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</si>
  <si>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</si>
  <si>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</si>
  <si>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</si>
  <si>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</si>
  <si>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</si>
  <si>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</si>
  <si>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</si>
  <si>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</si>
  <si>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</si>
  <si>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</si>
  <si>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</si>
  <si>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</si>
  <si>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</si>
  <si>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</si>
  <si>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</si>
  <si>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</si>
  <si>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</si>
  <si>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</si>
  <si>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</si>
  <si>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</si>
  <si>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</si>
  <si>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</si>
  <si>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</si>
  <si>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</si>
  <si>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</si>
  <si>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</si>
  <si>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</si>
  <si>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</si>
  <si>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</si>
  <si>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</si>
  <si>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</si>
  <si>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</si>
  <si>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</si>
  <si>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</si>
  <si>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</si>
  <si>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</si>
  <si>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</si>
  <si>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</si>
  <si>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</si>
  <si>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</si>
  <si>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</si>
  <si>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</si>
  <si>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</si>
  <si>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</si>
  <si>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</si>
  <si>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</si>
  <si>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</si>
  <si>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</si>
  <si>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</si>
  <si>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</si>
  <si>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</si>
  <si>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</si>
  <si>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</si>
  <si>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To  implement a regional municipal waste management system in Zugdidi (on the existing waste management base) and Gurjaani (village Melaani) that will serve Samegrelo-Zemo Svaneti and Kakheti regions (preparatory works are ongoing).</t>
  </si>
  <si>
    <t xml:space="preserve">Reconstruction - Rehabilitation and necessary efficiency improvements of approximately 25 public schools in Tbilisi. (preparatory works are ongoing). 
</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</si>
  <si>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</si>
  <si>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</si>
  <si>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</si>
  <si>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Construction of a new bridge at the Sadakhlo-Bagratashen border crossing between the Republic of Armenia and Georgia  (detailed projectioon works are ongoing).</t>
  </si>
  <si>
    <t>Implementation of energy efficiency activities in public buildings. (Implementation of renewable and alternative energy sources in administrative and educational buildings) (preparatory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</si>
  <si>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</si>
  <si>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</si>
  <si>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</si>
  <si>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Construction of Poti Bridge on River Rioni (ADB)</t>
  </si>
  <si>
    <t xml:space="preserve">  - Construction of Batumi Bypass two-lane 14.3 km Road (construction works are ongoing);
 - Maintenance of approximately 200 km International and Local roads (planned);
- Detailed project preparation works are ongoing for Batumi-Sarfi section. </t>
  </si>
  <si>
    <t>Rehabilitation of secondary and local roads in different regions of Georgia (approx. 225 km in total) (The project was closed on June 30, 2019).</t>
  </si>
  <si>
    <t>Construction of road and tunnel on Kvesheti-Kobi section of Mtskheta-Stepantsminda-Larsi Road. Road section: (Preparatory works are ongoing).</t>
  </si>
  <si>
    <t>Construction of Lochini-Sagarejo (km20-km50) section of Tbilisi-Bakurtsikhe-Lagodekhi Road  (the procedures for identifying the funding sources are ongoing).</t>
  </si>
  <si>
    <t>Amount envisaged in the State Budget 2020</t>
  </si>
  <si>
    <t>Expenditures made during the Year of 2020
(Actual expenditures) **</t>
  </si>
  <si>
    <t xml:space="preserve">Consturction-Rehabilitation of Shorapani Argveta Section of Tbilisi-Senaki-Leselidze Road (ADB)) </t>
  </si>
  <si>
    <t>Dairy Modernization and Market Access Programme  -  DiMMA (IFAD)</t>
  </si>
  <si>
    <t>Georgia I2Q - Innovation, Inclusion and Quality Project (IBRD)</t>
  </si>
  <si>
    <t>Vocational Education Programme I (KfW)</t>
  </si>
  <si>
    <t xml:space="preserve"> Livable Cities Investment Program (ADB)</t>
  </si>
  <si>
    <t>Urban Transport Development  (EBRD)</t>
  </si>
  <si>
    <t>Municipal Service Improvement Program  (EBRD)</t>
  </si>
  <si>
    <t xml:space="preserve">To purchase 175 new buses for 6 cities (Gori, Kutaisi, Poti, Rustavi, Telavi and Zugdidi )  and rehabilitation of outdated municipal transport. </t>
  </si>
  <si>
    <t xml:space="preserve">To purchase the speciial techniques for improvement of the service quality and security measures in Bakuriani. </t>
  </si>
  <si>
    <t xml:space="preserve">The resource will mainly finance the preparatory activities of the projects planned within the framework of the "Cities for Investment Program" (Feasibility study of projects, detailed study of social and environmental conditions, preparation of design and tender documentation and other). </t>
  </si>
  <si>
    <t xml:space="preserve"> - Construction of Administrative and Visitor Centers of  Kazbegi, Kintrishi, Algeti Protected Areas was completed; 
-  Eco-tourism strategies of Kazbegi, Kintrishi, Algeti and Pshav-Khevsureti are developed;  
- Management plans for Kazbegi, Kintrishi, Algeti and Pshav-Khevsureti are developed and prepared for approval; 
-  Construction of Pshav-Khevsureti Administration and Visitor Center is ongoing;
-  Rehabilitation of Manglisi Roche Park is completing; 
- The demarcation of Pshav-Khevsureti is completed; 
-  The physical demarcation of Kazbegi, Kintrishi, Algeti and Pshav-Khevsureti is completed; 
-The Prometheus Cave Exhibition space was fully rehabilitated; 
- A rope park was set up in Manglisi, Algeti National Park.  </t>
  </si>
  <si>
    <t>To expand access to preschool education and improve the quality of education and learning environments.</t>
  </si>
  <si>
    <t xml:space="preserve"> Construction of a Centre of Excellence, including equiping of classrooms and workshops and making small investmens in existing vocational colleges.</t>
  </si>
  <si>
    <t>Providing Applied Research Grants to scientists selected through the Shota Rustaveli National Science Foundation.</t>
  </si>
  <si>
    <t>Applied Research Grants  Program (National Innovation Ecosystem Project) (IBRD)</t>
  </si>
  <si>
    <t xml:space="preserve">  - Construction of the Zemo Osiauri - Chumateleti Section (approximately 14.1 km) of the Highway ( construction works are ongoing for Lot I, agreement for Lot II was terminated, out of which  for 1.9 km section (km-5 + 800-km-7 + 700) the contract was signed with the contracting company of Lot I - Sinohydro. Completion of km7.7 is planned for the end of July 2020 and tender for the remaining part of Lot II (km7.7-km 14.6) were opened on April 1, 2020. The process of evaluating the submitted proposals is ongoing;  
- Institutional Development of the Roads Department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(ongoing). </t>
  </si>
  <si>
    <t xml:space="preserve">- Construction of a new Kobuleti Bypass Road (approximately 32 km) (First section (12+400 - km 31+259) of the Highway is open for traffic, construction works completed for second section (18 km), traffic is open);
- Detailed project preparation works completed for Khevi-Argveta section;
- Detailed project preparation works are ongoing for Tbilisi-Natakhtari-Zhinvali section.Due to the completion of the program, the source of funding for this agreement has changed. The agreement was transferred to the constructionof the project for Khevi-Ubisa section.
</t>
  </si>
  <si>
    <t xml:space="preserve"> - Construction of Zestafoni - Kutaisi section (15.2 km) (Construction works are completed, the road section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</si>
  <si>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 xml:space="preserve">Upgrading of approximately 11 km of the existing 2-line East-West Highway Corridor to a  2-line dual carriageway from  Chumateleti to Khevi (Mobilization, preparatory and construction works are ongoing). </t>
  </si>
  <si>
    <t>Reconstruction and construction of Tbilisi-Senaki-Leselidze road Khevi Ubisa section (construction works are onging). 
Detailed project preparation works are ongoing for  Tbilisi and Natakhtari-Zhinvali section.</t>
  </si>
  <si>
    <t xml:space="preserve"> Rehabilitation-reconstruction of Shorapani-Argveta section of Tbilisi-Senaki-Leselidze highway. The agreement was signed on January 16, 2020(Preparatory work is ongoing).</t>
  </si>
  <si>
    <t>Construction of Poti Bridge on River Rioni and the tender proposal is being evaluated on the tender for the construction of access roads.</t>
  </si>
  <si>
    <t>Batumi (Angisa) - Rehabilitation of the Khulo-Zarzma section of the Akhaltsikhe highway has been suspended. Tender proposals were opened on April 10, 2020 within the framework of the re-announced tender. The submitted proposala are being evaluated.</t>
  </si>
  <si>
    <t>Batumi (Angisa) - Rehabilitation-reconstruction of Khulo-Zarzma section of Akhaltsikhe highway.) (Kuwait Fund)</t>
  </si>
  <si>
    <t>29.11.2019</t>
  </si>
  <si>
    <t>20.12.2022</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</si>
  <si>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t>
  </si>
  <si>
    <t xml:space="preserve">As of May 31, 2020 (In thousand) </t>
  </si>
  <si>
    <t>GRANT - KfW - Economic Integration, Housing and Social Infrastructure for IDPs and Host Communities</t>
  </si>
  <si>
    <t>Total</t>
  </si>
  <si>
    <t>- A total of 236 houses will be built in Georgia on the land plots owned by internally displaced families. A village settlement will be created in Marneuli for internally displaced families.
-  24 small scale infrastructural projects will be implemented near the settlements where the internally displaced people live. Eight new kindergarten will be built and two preschool facilities will be renovated.
- A total of 236 grants will be issued in order to give source of income to the families moved to the new living area.
- 130 business grants will be issued to small and medium sized enterprises to create job places for internally displaced people.
About 260 young internally displaced person will undergo the professional qualification courses. Also, in western Georgia educational cetnres will be built for improving professional education and skills for internally displaced people.</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</si>
  <si>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Lot I)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
- Detailed project preparation works completed  for Rustavi-Red Bridge-Sadakhlo section;
- Detailed project preparation works are ongoing for Tbilisi-Lagodekhi section.</t>
  </si>
  <si>
    <t xml:space="preserve"> - Construction of a new four lane highway (approx. 50 km) from Samtredia to Grigoleti (construction works are going under the I, II and IV lots, III lot -   the procedures of evaluation of submitted proposals at the pre-qualification are ongoing , the deadline for submitting applications is February 04, 2020);
-  The contract  for  Lot I was terminated and the contract for the remaining works was signed on November 13, 2018. Deadline for completion of works  is December 03, 2020; 
- The contract for Lot II was signed on November 13, 2015. Completion of works  is planned by the end of 2020;
- The contract for Lot  IV  was signed on December 24, 2014. Completion of works  is planned by the end of 2020;
 - Road sections of Poti-Grigoleti and Grigoleti-Kobuleti Bypass Road (  preparation of the Detailed Design was completed);</t>
  </si>
  <si>
    <t>Construction/Upgrading of Algeti-Sadakhlo Road  (planned) (Tender procedures are ongoing to select a supervisor for the construction works of Algeti-Sadakhlo section).</t>
  </si>
  <si>
    <t>Rehabilitation of secondary and local roads in different regions of Georgia (approx. 200 km in total) (rehabilitation works for additional 12 road sections are completed  within the project (approx. 80 km in total).
-6 km out of the 15.5 km section of Gurjaani bypass road has been completed, as well as the construction of 6 bridges out of 7 bridges have been completed, land  and construction of artificial buildings works are ongoing..</t>
  </si>
  <si>
    <t xml:space="preserve"> - Rehabilitation  of selected secondary road sections in Guria region (planned); 
 - Rehabilitation of selected secondary road sections in Mtskheta - Mtianeti, Racha - Lechkhumi and Shida Kartli regions considering the design and construction conditions (rehabilitation works were completed for two sections, the contract was terminated on lots I and II. Tender proposals were opened on April 3, 2020 within the framework of the re-announced tender. The companies that won the tender have been identified, the procedures required for concluding contracts (both lots) are ongoing.
 -Monitoring and supervision of works contracts (supervision of rehabilitation works  of 4 road sections is ongoing).</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</si>
  <si>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Designing and construction of Mestia wastewater treatment plant rehabilitation (project works are ongoing);
 -Anaklia - Construction of Water Intake building; Construction/rehabilitation of water supply and wastewater networks (completed); construction of wastewater treatment plant (the storage procedures are ongoing); Construction/projecting of wastewater treatment plant (tendering procedures are ongoing);
-  Kutaisi - Construction/rehabilitation of water supply systems (reservoirs, pumping stations, water distribution network) (the acceptance procedures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and partial acceptance procedures are ongoing); 
- Marneuli - Rehabilitation of water supply and wastewater system facilities ( the mobilization works are ongoing);
- Marneuli - wastewater-treatment plant designing and construction ( project works are ongoing and the mobilization process has started); 
- Construction of Abasha main line (constructions works are ongoing);
-  Construction of Water Supply System in Telavi  (the procedures for preparing tender documentation is ongoing); 
- Construction water and sewerage systems in Gudauri (construction works are ongoing); 
-  Constraction of wastewater treatment plant in Gudauri (project works are ongoing).
</t>
  </si>
  <si>
    <r>
      <t xml:space="preserve">Development of value chain production / processing /sale and promotion of innovation in this sector. Institutional and organizational development; The program will be implemented in three regions: Imereti, Samegrelo-Zemo Svaneti and Samtskhe-Javakheti.
</t>
    </r>
    <r>
      <rPr>
        <b/>
        <sz val="12"/>
        <rFont val="Franklin Gothic Book"/>
        <family val="2"/>
        <scheme val="minor"/>
      </rPr>
      <t>Component 1 - Development of the dairy value chain:
-</t>
    </r>
    <r>
      <rPr>
        <sz val="12"/>
        <rFont val="Franklin Gothic Book"/>
        <family val="2"/>
        <scheme val="minor"/>
      </rPr>
      <t xml:space="preserve"> 478 applications were submitted for the month of May, they are being processed; 
- A competition was announced to select a service provider that will organize demonstration plots in the target regions and conduct training for farmers employed in the dairy sector;
- A competition was announced to select local coordinators for new regions added to the program (Kakheti, Kvemo Kartli, Racha-Lechkhumi and Kvemo Svaneti regions).
</t>
    </r>
    <r>
      <rPr>
        <b/>
        <sz val="12"/>
        <color theme="1"/>
        <rFont val="Franklin Gothic Book"/>
        <family val="2"/>
        <scheme val="minor"/>
      </rPr>
      <t>Component 2 - Institutional Development:
-</t>
    </r>
    <r>
      <rPr>
        <sz val="12"/>
        <color theme="1"/>
        <rFont val="Franklin Gothic Book"/>
        <family val="2"/>
        <scheme val="minor"/>
      </rPr>
      <t>The process of basic program research is completed.</t>
    </r>
  </si>
  <si>
    <r>
      <t xml:space="preserve">
</t>
    </r>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Rehabilitation works for Tiriponi  irrigation system distribution network (G-3-2-1) and rehabilitation of its other distribution networks (Shida Kartli, Gori) are ongoing;
-  Rehabilitation of Tirifoni irigation system (G-3 distributor's internal network) (Gori Municipality) is ongoing;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</si>
</sst>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dd\.mm\.yyyy"/>
    <numFmt numFmtId="166" formatCode="#,##0.00000"/>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
      <left style="medium">
        <color indexed="64"/>
      </left>
      <right style="dotted">
        <color theme="1" tint="4.9989318521683403E-2"/>
      </right>
      <top style="dotted">
        <color theme="1" tint="4.9989318521683403E-2"/>
      </top>
      <bottom style="dotted">
        <color theme="1" tint="4.9989318521683403E-2"/>
      </bottom>
      <diagonal/>
    </border>
    <border>
      <left style="medium">
        <color indexed="64"/>
      </left>
      <right/>
      <top style="dotted">
        <color theme="0" tint="-0.499984740745262"/>
      </top>
      <bottom style="medium">
        <color indexed="64"/>
      </bottom>
      <diagonal/>
    </border>
    <border>
      <left/>
      <right/>
      <top style="dotted">
        <color theme="0" tint="-0.499984740745262"/>
      </top>
      <bottom style="medium">
        <color indexed="64"/>
      </bottom>
      <diagonal/>
    </border>
    <border>
      <left/>
      <right style="medium">
        <color indexed="64"/>
      </right>
      <top style="dotted">
        <color theme="0" tint="-0.499984740745262"/>
      </top>
      <bottom style="medium">
        <color indexed="64"/>
      </bottom>
      <diagonal/>
    </border>
    <border>
      <left style="dotted">
        <color theme="0" tint="-0.499984740745262"/>
      </left>
      <right style="dotted">
        <color theme="0" tint="-0.499984740745262"/>
      </right>
      <top/>
      <bottom style="medium">
        <color indexed="64"/>
      </bottom>
      <diagonal/>
    </border>
    <border>
      <left style="dotted">
        <color theme="0" tint="-0.499984740745262"/>
      </left>
      <right style="dotted">
        <color theme="0" tint="-0.499984740745262"/>
      </right>
      <top style="dotted">
        <color theme="0" tint="-0.499984740745262"/>
      </top>
      <bottom style="dotted">
        <color indexed="64"/>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83">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49" fontId="7" fillId="0" borderId="33" xfId="1" applyNumberFormat="1" applyFont="1" applyFill="1" applyBorder="1" applyAlignment="1" applyProtection="1">
      <alignment horizontal="left" vertical="center" wrapText="1"/>
      <protection locked="0"/>
    </xf>
    <xf numFmtId="49" fontId="5" fillId="0" borderId="33"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29" xfId="1" applyNumberFormat="1" applyFont="1" applyFill="1" applyBorder="1" applyAlignment="1">
      <alignment horizontal="center" vertical="center"/>
    </xf>
    <xf numFmtId="49" fontId="7" fillId="0" borderId="45" xfId="1" applyNumberFormat="1" applyFont="1" applyFill="1" applyBorder="1" applyAlignment="1" applyProtection="1">
      <alignment horizontal="left" vertical="center" wrapText="1"/>
      <protection locked="0"/>
    </xf>
    <xf numFmtId="164" fontId="7" fillId="0" borderId="29" xfId="1" applyNumberFormat="1" applyFont="1" applyFill="1" applyBorder="1" applyAlignment="1">
      <alignment horizontal="center" vertical="center"/>
    </xf>
    <xf numFmtId="49" fontId="7" fillId="0" borderId="30" xfId="1" applyNumberFormat="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0" fontId="7" fillId="2" borderId="31" xfId="1" applyFont="1" applyFill="1" applyBorder="1" applyAlignment="1">
      <alignment vertical="center" wrapText="1"/>
    </xf>
    <xf numFmtId="164" fontId="7" fillId="2" borderId="38" xfId="1" applyNumberFormat="1" applyFont="1" applyFill="1" applyBorder="1" applyAlignment="1">
      <alignment horizontal="center" vertical="center"/>
    </xf>
    <xf numFmtId="164" fontId="7" fillId="2" borderId="35"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7" fillId="0" borderId="39" xfId="1" applyNumberFormat="1" applyFont="1" applyFill="1" applyBorder="1" applyAlignment="1">
      <alignment horizontal="center" vertical="center"/>
    </xf>
    <xf numFmtId="43" fontId="10" fillId="0" borderId="32" xfId="11" applyFont="1" applyFill="1" applyBorder="1" applyAlignment="1">
      <alignment horizontal="center" vertical="center"/>
    </xf>
    <xf numFmtId="0" fontId="7" fillId="0" borderId="43" xfId="1" applyFont="1" applyFill="1" applyBorder="1" applyAlignment="1">
      <alignment horizontal="left" vertical="center" wrapText="1"/>
    </xf>
    <xf numFmtId="164" fontId="7" fillId="0" borderId="41"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7" fillId="2" borderId="29" xfId="1" applyNumberFormat="1" applyFont="1" applyFill="1" applyBorder="1" applyAlignment="1">
      <alignment horizontal="center" vertical="center"/>
    </xf>
    <xf numFmtId="0" fontId="5" fillId="0" borderId="52" xfId="1" applyFont="1" applyFill="1" applyBorder="1" applyAlignment="1">
      <alignment horizontal="left" vertical="center" wrapText="1"/>
    </xf>
    <xf numFmtId="165" fontId="7" fillId="2" borderId="29" xfId="1" applyNumberFormat="1" applyFont="1" applyFill="1" applyBorder="1" applyAlignment="1">
      <alignment horizontal="center" vertical="center" wrapText="1"/>
    </xf>
    <xf numFmtId="165" fontId="7" fillId="2" borderId="41" xfId="1" applyNumberFormat="1" applyFont="1" applyFill="1" applyBorder="1" applyAlignment="1">
      <alignment horizontal="center" vertical="center" wrapText="1"/>
    </xf>
    <xf numFmtId="49" fontId="7" fillId="2" borderId="45" xfId="1" applyNumberFormat="1" applyFont="1" applyFill="1" applyBorder="1" applyAlignment="1">
      <alignment horizontal="left" vertical="center" wrapText="1"/>
    </xf>
    <xf numFmtId="164" fontId="7" fillId="2" borderId="29" xfId="1" applyNumberFormat="1" applyFont="1" applyFill="1" applyBorder="1" applyAlignment="1">
      <alignment horizontal="center" vertical="center"/>
    </xf>
    <xf numFmtId="164" fontId="5" fillId="0" borderId="32" xfId="1" applyNumberFormat="1" applyFont="1" applyBorder="1" applyAlignment="1">
      <alignment horizontal="center" vertical="center"/>
    </xf>
    <xf numFmtId="164" fontId="7" fillId="0" borderId="35" xfId="1" applyNumberFormat="1" applyFont="1" applyBorder="1" applyAlignment="1">
      <alignment horizontal="center" vertical="center"/>
    </xf>
    <xf numFmtId="166" fontId="9" fillId="0" borderId="0" xfId="1" applyNumberFormat="1" applyFont="1" applyFill="1" applyBorder="1" applyAlignment="1">
      <alignment vertical="center"/>
    </xf>
    <xf numFmtId="164" fontId="7" fillId="0" borderId="37" xfId="1" applyNumberFormat="1" applyFont="1" applyBorder="1" applyAlignment="1">
      <alignment horizontal="center" vertical="center"/>
    </xf>
    <xf numFmtId="164" fontId="7" fillId="0" borderId="38" xfId="1" quotePrefix="1" applyNumberFormat="1" applyFont="1" applyBorder="1" applyAlignment="1">
      <alignment horizontal="center" vertical="center"/>
    </xf>
    <xf numFmtId="164" fontId="5" fillId="0" borderId="38" xfId="1" applyNumberFormat="1" applyFont="1" applyBorder="1" applyAlignment="1">
      <alignment horizontal="center" vertical="center"/>
    </xf>
    <xf numFmtId="164" fontId="7" fillId="0" borderId="46" xfId="1" applyNumberFormat="1" applyFont="1" applyBorder="1" applyAlignment="1">
      <alignment horizontal="center" vertical="center"/>
    </xf>
    <xf numFmtId="164" fontId="7" fillId="0" borderId="29" xfId="1" applyNumberFormat="1" applyFont="1" applyBorder="1" applyAlignment="1">
      <alignment horizontal="center" vertical="center"/>
    </xf>
    <xf numFmtId="164" fontId="5" fillId="0" borderId="29" xfId="1" applyNumberFormat="1" applyFont="1" applyBorder="1" applyAlignment="1">
      <alignment horizontal="center" vertical="center"/>
    </xf>
    <xf numFmtId="164" fontId="5" fillId="2" borderId="29" xfId="1" applyNumberFormat="1" applyFont="1" applyFill="1" applyBorder="1" applyAlignment="1">
      <alignment horizontal="center" vertical="center"/>
    </xf>
    <xf numFmtId="164" fontId="5" fillId="0" borderId="41" xfId="1" applyNumberFormat="1" applyFont="1" applyBorder="1" applyAlignment="1">
      <alignment horizontal="center" vertical="center"/>
    </xf>
    <xf numFmtId="164" fontId="5" fillId="0" borderId="39" xfId="1" applyNumberFormat="1" applyFont="1" applyBorder="1" applyAlignment="1">
      <alignment horizontal="center" vertical="center"/>
    </xf>
    <xf numFmtId="164" fontId="5" fillId="0" borderId="35" xfId="1" applyNumberFormat="1" applyFont="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Border="1" applyAlignment="1">
      <alignment horizontal="center" vertical="center"/>
    </xf>
    <xf numFmtId="164" fontId="7" fillId="2"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7" fillId="0" borderId="29" xfId="1" applyNumberFormat="1" applyFont="1" applyBorder="1" applyAlignment="1">
      <alignment horizontal="center" vertical="center"/>
    </xf>
    <xf numFmtId="164" fontId="7" fillId="2" borderId="29" xfId="1" applyNumberFormat="1" applyFont="1" applyFill="1" applyBorder="1" applyAlignment="1">
      <alignment horizontal="center" vertical="center"/>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12" fillId="3" borderId="13" xfId="1" applyNumberFormat="1" applyFont="1" applyFill="1" applyBorder="1" applyAlignment="1">
      <alignment horizontal="center" vertical="center"/>
    </xf>
    <xf numFmtId="164" fontId="7" fillId="0" borderId="38" xfId="1" applyNumberFormat="1" applyFont="1" applyBorder="1" applyAlignment="1">
      <alignment horizontal="center" vertical="center"/>
    </xf>
    <xf numFmtId="164" fontId="7" fillId="0" borderId="32" xfId="1" applyNumberFormat="1" applyFont="1" applyBorder="1" applyAlignment="1">
      <alignment horizontal="center" vertical="center"/>
    </xf>
    <xf numFmtId="0" fontId="5" fillId="0" borderId="42" xfId="1" applyFont="1" applyFill="1" applyBorder="1" applyAlignment="1">
      <alignment horizontal="left" vertical="center" wrapText="1"/>
    </xf>
    <xf numFmtId="164" fontId="7" fillId="0" borderId="39" xfId="1" applyNumberFormat="1" applyFont="1" applyFill="1" applyBorder="1" applyAlignment="1">
      <alignment horizontal="center" vertical="center"/>
    </xf>
    <xf numFmtId="164" fontId="7" fillId="0" borderId="32" xfId="1" applyNumberFormat="1" applyFont="1" applyBorder="1" applyAlignment="1">
      <alignment horizontal="center" vertical="center"/>
    </xf>
    <xf numFmtId="164" fontId="7" fillId="2" borderId="32" xfId="1" applyNumberFormat="1" applyFont="1" applyFill="1" applyBorder="1" applyAlignment="1">
      <alignment horizontal="center" vertical="center"/>
    </xf>
    <xf numFmtId="165" fontId="5" fillId="0" borderId="39" xfId="1" applyNumberFormat="1" applyFont="1" applyFill="1" applyBorder="1" applyAlignment="1">
      <alignment horizontal="center" vertical="center" wrapText="1"/>
    </xf>
    <xf numFmtId="164" fontId="5" fillId="0" borderId="39" xfId="1" applyNumberFormat="1" applyFont="1" applyFill="1" applyBorder="1" applyAlignment="1">
      <alignment horizontal="center" vertical="center"/>
    </xf>
    <xf numFmtId="164" fontId="7" fillId="0" borderId="38" xfId="1" applyNumberFormat="1" applyFont="1" applyBorder="1" applyAlignment="1">
      <alignment horizontal="center" vertical="center"/>
    </xf>
    <xf numFmtId="164" fontId="7" fillId="0" borderId="29" xfId="1" applyNumberFormat="1" applyFont="1" applyBorder="1" applyAlignment="1">
      <alignment horizontal="center" vertical="center"/>
    </xf>
    <xf numFmtId="164" fontId="7" fillId="2" borderId="41" xfId="1" applyNumberFormat="1" applyFont="1" applyFill="1" applyBorder="1" applyAlignment="1">
      <alignment horizontal="center" vertical="center"/>
    </xf>
    <xf numFmtId="164" fontId="7" fillId="0" borderId="39" xfId="1" applyNumberFormat="1" applyFont="1" applyBorder="1" applyAlignment="1">
      <alignment horizontal="center" vertical="center"/>
    </xf>
    <xf numFmtId="164" fontId="7" fillId="0" borderId="41" xfId="1" applyNumberFormat="1" applyFont="1" applyBorder="1" applyAlignment="1">
      <alignment horizontal="center" vertical="center"/>
    </xf>
    <xf numFmtId="49" fontId="7" fillId="0" borderId="44" xfId="1" applyNumberFormat="1" applyFont="1" applyFill="1" applyBorder="1" applyAlignment="1">
      <alignment horizontal="left" vertical="center" wrapText="1"/>
    </xf>
    <xf numFmtId="49" fontId="16" fillId="3" borderId="2" xfId="1" applyNumberFormat="1" applyFont="1" applyFill="1" applyBorder="1" applyAlignment="1">
      <alignment horizontal="center" vertical="center"/>
    </xf>
    <xf numFmtId="49" fontId="7" fillId="0" borderId="45" xfId="1" applyNumberFormat="1" applyFont="1" applyFill="1" applyBorder="1" applyAlignment="1">
      <alignment horizontal="left" vertical="center" wrapText="1"/>
    </xf>
    <xf numFmtId="0" fontId="7" fillId="0" borderId="43" xfId="1" applyFont="1" applyFill="1" applyBorder="1" applyAlignment="1">
      <alignment horizontal="left" vertical="center" wrapText="1"/>
    </xf>
    <xf numFmtId="164" fontId="7" fillId="0" borderId="41" xfId="1" applyNumberFormat="1" applyFont="1" applyBorder="1" applyAlignment="1">
      <alignment horizontal="center" vertical="center"/>
    </xf>
    <xf numFmtId="164" fontId="7" fillId="0" borderId="32" xfId="1" applyNumberFormat="1" applyFont="1" applyBorder="1" applyAlignment="1">
      <alignment horizontal="center" vertical="center"/>
    </xf>
    <xf numFmtId="164" fontId="7" fillId="0" borderId="41" xfId="1" applyNumberFormat="1" applyFont="1" applyFill="1" applyBorder="1" applyAlignment="1">
      <alignment horizontal="center" vertical="center"/>
    </xf>
    <xf numFmtId="164" fontId="7" fillId="2" borderId="32"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165" fontId="7" fillId="0" borderId="32" xfId="1" applyNumberFormat="1" applyFont="1" applyFill="1" applyBorder="1" applyAlignment="1">
      <alignment vertical="center" wrapText="1"/>
    </xf>
    <xf numFmtId="164" fontId="7" fillId="2" borderId="32" xfId="1" applyNumberFormat="1" applyFont="1" applyFill="1" applyBorder="1" applyAlignment="1">
      <alignment vertical="center"/>
    </xf>
    <xf numFmtId="164" fontId="7" fillId="0" borderId="32" xfId="1" applyNumberFormat="1" applyFont="1" applyFill="1" applyBorder="1" applyAlignment="1">
      <alignment vertical="center"/>
    </xf>
    <xf numFmtId="165" fontId="7" fillId="0" borderId="41" xfId="1" applyNumberFormat="1" applyFont="1" applyBorder="1" applyAlignment="1">
      <alignment horizontal="center" vertical="center" wrapText="1"/>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165" fontId="7"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5" fontId="7" fillId="0" borderId="39" xfId="1" applyNumberFormat="1" applyFont="1" applyFill="1" applyBorder="1" applyAlignment="1">
      <alignment horizontal="center" vertical="center" wrapText="1"/>
    </xf>
    <xf numFmtId="165" fontId="7" fillId="0" borderId="56"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56"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0" borderId="31" xfId="1" applyFont="1" applyFill="1" applyBorder="1" applyAlignment="1">
      <alignment horizontal="left" vertical="center" wrapText="1"/>
    </xf>
    <xf numFmtId="164" fontId="7" fillId="0" borderId="32" xfId="1" applyNumberFormat="1" applyFont="1" applyFill="1" applyBorder="1" applyAlignment="1">
      <alignment horizontal="center" vertical="center"/>
    </xf>
    <xf numFmtId="0" fontId="12" fillId="3" borderId="1" xfId="1" applyFont="1" applyFill="1" applyBorder="1" applyAlignment="1">
      <alignment horizontal="left" vertical="center"/>
    </xf>
    <xf numFmtId="0" fontId="12" fillId="3" borderId="3" xfId="1" applyFont="1" applyFill="1" applyBorder="1" applyAlignment="1">
      <alignment horizontal="left" vertical="center"/>
    </xf>
    <xf numFmtId="0" fontId="12" fillId="3" borderId="2" xfId="1" applyFont="1" applyFill="1" applyBorder="1" applyAlignment="1">
      <alignment horizontal="left" vertical="center"/>
    </xf>
    <xf numFmtId="164" fontId="7" fillId="0" borderId="32" xfId="1" applyNumberFormat="1" applyFont="1" applyBorder="1" applyAlignment="1">
      <alignment horizontal="center" vertical="center"/>
    </xf>
    <xf numFmtId="164" fontId="7" fillId="2" borderId="32" xfId="1" applyNumberFormat="1" applyFont="1" applyFill="1" applyBorder="1" applyAlignment="1">
      <alignment horizontal="center" vertical="center"/>
    </xf>
    <xf numFmtId="165" fontId="5" fillId="0" borderId="39" xfId="1" applyNumberFormat="1" applyFont="1" applyFill="1" applyBorder="1" applyAlignment="1">
      <alignment horizontal="center" vertical="center" wrapText="1"/>
    </xf>
    <xf numFmtId="165" fontId="5" fillId="0" borderId="40"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0"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164" fontId="7" fillId="0" borderId="38" xfId="1" applyNumberFormat="1" applyFont="1" applyBorder="1" applyAlignment="1">
      <alignment horizontal="center" vertical="center"/>
    </xf>
    <xf numFmtId="49" fontId="7" fillId="0" borderId="50" xfId="1" applyNumberFormat="1" applyFont="1" applyFill="1" applyBorder="1" applyAlignment="1" applyProtection="1">
      <alignment horizontal="left" vertical="justify" wrapText="1"/>
      <protection locked="0"/>
    </xf>
    <xf numFmtId="49" fontId="7" fillId="0" borderId="51" xfId="1" applyNumberFormat="1" applyFont="1" applyFill="1" applyBorder="1" applyAlignment="1" applyProtection="1">
      <alignment horizontal="left" vertical="justify" wrapText="1"/>
      <protection locked="0"/>
    </xf>
    <xf numFmtId="49" fontId="7" fillId="0" borderId="45" xfId="1" applyNumberFormat="1" applyFont="1" applyFill="1" applyBorder="1" applyAlignment="1" applyProtection="1">
      <alignment horizontal="left" vertical="justify" wrapText="1"/>
      <protection locked="0"/>
    </xf>
    <xf numFmtId="0" fontId="5" fillId="0" borderId="28" xfId="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29" xfId="1" applyNumberFormat="1" applyFont="1" applyBorder="1" applyAlignment="1">
      <alignment horizontal="center" vertical="center"/>
    </xf>
    <xf numFmtId="164" fontId="7" fillId="0" borderId="57" xfId="1" applyNumberFormat="1" applyFont="1" applyBorder="1" applyAlignment="1">
      <alignment horizontal="center" vertical="center"/>
    </xf>
    <xf numFmtId="0" fontId="1" fillId="0" borderId="32" xfId="0" applyFont="1" applyBorder="1" applyAlignment="1">
      <alignment horizontal="center" vertical="center"/>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49" fontId="7" fillId="0" borderId="33" xfId="1" applyNumberFormat="1" applyFont="1" applyFill="1" applyBorder="1" applyAlignment="1">
      <alignment horizontal="left" vertical="justify"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164" fontId="5" fillId="0" borderId="48" xfId="1" applyNumberFormat="1" applyFont="1" applyFill="1" applyBorder="1" applyAlignment="1">
      <alignment horizontal="center" vertical="center"/>
    </xf>
    <xf numFmtId="164" fontId="5" fillId="0" borderId="49"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5" fillId="0" borderId="29"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7" fillId="2" borderId="29"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164" fontId="7" fillId="2" borderId="39" xfId="1" applyNumberFormat="1" applyFont="1" applyFill="1" applyBorder="1" applyAlignment="1">
      <alignment horizontal="center" vertical="center"/>
    </xf>
    <xf numFmtId="164" fontId="7" fillId="2" borderId="40"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164" fontId="7" fillId="0" borderId="39" xfId="1" applyNumberFormat="1" applyFont="1" applyBorder="1" applyAlignment="1">
      <alignment horizontal="center" vertical="center"/>
    </xf>
    <xf numFmtId="164" fontId="7" fillId="0" borderId="41" xfId="1" applyNumberFormat="1" applyFont="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xf numFmtId="0" fontId="7" fillId="0" borderId="0" xfId="1" applyFont="1" applyFill="1" applyBorder="1" applyAlignment="1">
      <alignment horizontal="left" vertical="center" wrapText="1"/>
    </xf>
    <xf numFmtId="0" fontId="12" fillId="3" borderId="53" xfId="1" applyFont="1" applyFill="1" applyBorder="1" applyAlignment="1">
      <alignment horizontal="left" vertical="center"/>
    </xf>
    <xf numFmtId="0" fontId="12" fillId="3" borderId="54" xfId="1" applyFont="1" applyFill="1" applyBorder="1" applyAlignment="1">
      <alignment horizontal="left" vertical="center"/>
    </xf>
    <xf numFmtId="0" fontId="12" fillId="3" borderId="55" xfId="1" applyFont="1" applyFill="1" applyBorder="1" applyAlignment="1">
      <alignment horizontal="left" vertical="center"/>
    </xf>
    <xf numFmtId="164" fontId="7" fillId="0" borderId="48" xfId="1" quotePrefix="1" applyNumberFormat="1" applyFont="1" applyBorder="1" applyAlignment="1">
      <alignment horizontal="center" vertical="center"/>
    </xf>
    <xf numFmtId="164" fontId="7" fillId="0" borderId="49" xfId="1" quotePrefix="1" applyNumberFormat="1" applyFont="1" applyBorder="1" applyAlignment="1">
      <alignment horizontal="center" vertical="center"/>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s.operation1/Downloads/WEB_2020_April_G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obas\MoF_February_2020\2020\WEB_March_2020\WEB_2020_January_Ge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WEB_2020_Mayl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97">
          <cell r="G97">
            <v>1182300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97">
          <cell r="G97">
            <v>1182300</v>
          </cell>
          <cell r="H97">
            <v>46900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98">
          <cell r="I98">
            <v>396957.76662000001</v>
          </cell>
          <cell r="J98">
            <v>23802.080180000001</v>
          </cell>
          <cell r="K98">
            <v>5304088.280375002</v>
          </cell>
          <cell r="L98">
            <v>249542.77301999999</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105"/>
  <sheetViews>
    <sheetView showGridLines="0" tabSelected="1" topLeftCell="A91" zoomScale="64" zoomScaleNormal="64" zoomScaleSheetLayoutView="64" zoomScalePageLayoutView="40" workbookViewId="0">
      <selection activeCell="F10" sqref="F10"/>
    </sheetView>
  </sheetViews>
  <sheetFormatPr defaultColWidth="9.36328125" defaultRowHeight="16.2"/>
  <cols>
    <col min="1" max="1" width="64" style="4" customWidth="1"/>
    <col min="2" max="2" width="12.90625" style="5" bestFit="1" customWidth="1"/>
    <col min="3" max="3" width="12.6328125" style="2" bestFit="1" customWidth="1"/>
    <col min="4" max="4" width="10.453125" style="4" customWidth="1"/>
    <col min="5" max="5" width="13.08984375" style="4" bestFit="1" customWidth="1"/>
    <col min="6" max="6" width="9.90625" style="4" customWidth="1"/>
    <col min="7" max="7" width="17.6328125" style="1" customWidth="1"/>
    <col min="8" max="8" width="14.08984375" style="4" customWidth="1"/>
    <col min="9" max="9" width="15.453125" style="4" customWidth="1"/>
    <col min="10" max="10" width="13.08984375" style="4" customWidth="1"/>
    <col min="11" max="11" width="17" style="4" customWidth="1"/>
    <col min="12" max="12" width="15.453125" style="4" customWidth="1"/>
    <col min="13" max="13" width="114.6328125" style="13" customWidth="1"/>
    <col min="14" max="14" width="9.36328125" style="1" customWidth="1"/>
    <col min="15" max="15" width="20.6328125" style="1" customWidth="1"/>
    <col min="16" max="18" width="9.36328125" style="1"/>
    <col min="19" max="19" width="9.36328125" style="1" customWidth="1"/>
    <col min="20" max="16384" width="9.36328125" style="1"/>
  </cols>
  <sheetData>
    <row r="1" spans="1:15" ht="6" customHeight="1">
      <c r="A1" s="1"/>
      <c r="B1" s="2"/>
      <c r="D1" s="1"/>
      <c r="E1" s="1"/>
      <c r="F1" s="1"/>
      <c r="H1" s="1"/>
      <c r="I1" s="1"/>
      <c r="J1" s="1"/>
      <c r="K1" s="1"/>
      <c r="L1" s="1"/>
    </row>
    <row r="2" spans="1:15" s="6" customFormat="1" ht="29.4" customHeight="1">
      <c r="A2" s="15" t="s">
        <v>101</v>
      </c>
      <c r="B2" s="16"/>
      <c r="C2" s="16"/>
      <c r="D2" s="15"/>
      <c r="E2" s="15"/>
      <c r="F2" s="15"/>
      <c r="G2" s="15"/>
      <c r="H2" s="15"/>
      <c r="I2" s="15"/>
      <c r="J2" s="15"/>
      <c r="K2" s="17"/>
      <c r="L2" s="15"/>
      <c r="M2" s="75"/>
    </row>
    <row r="3" spans="1:15" ht="27" customHeight="1" thickBot="1">
      <c r="A3" s="18" t="s">
        <v>169</v>
      </c>
      <c r="B3" s="19"/>
      <c r="C3" s="19"/>
      <c r="D3" s="20"/>
      <c r="E3" s="20"/>
      <c r="F3" s="20"/>
      <c r="G3" s="20"/>
      <c r="H3" s="20"/>
      <c r="I3" s="20"/>
      <c r="J3" s="20"/>
      <c r="K3" s="20"/>
      <c r="L3" s="20"/>
    </row>
    <row r="4" spans="1:15" s="6" customFormat="1" ht="54.6" customHeight="1">
      <c r="A4" s="248" t="s">
        <v>9</v>
      </c>
      <c r="B4" s="245" t="s">
        <v>63</v>
      </c>
      <c r="C4" s="245" t="s">
        <v>28</v>
      </c>
      <c r="D4" s="240" t="s">
        <v>27</v>
      </c>
      <c r="E4" s="240"/>
      <c r="F4" s="247"/>
      <c r="G4" s="239" t="s">
        <v>140</v>
      </c>
      <c r="H4" s="240"/>
      <c r="I4" s="239" t="s">
        <v>141</v>
      </c>
      <c r="J4" s="240"/>
      <c r="K4" s="238" t="s">
        <v>53</v>
      </c>
      <c r="L4" s="239"/>
      <c r="M4" s="232" t="s">
        <v>29</v>
      </c>
    </row>
    <row r="5" spans="1:15" s="6" customFormat="1" ht="38.25" customHeight="1" thickBot="1">
      <c r="A5" s="249"/>
      <c r="B5" s="246"/>
      <c r="C5" s="246"/>
      <c r="D5" s="250" t="s">
        <v>19</v>
      </c>
      <c r="E5" s="251"/>
      <c r="F5" s="252"/>
      <c r="G5" s="236" t="s">
        <v>6</v>
      </c>
      <c r="H5" s="237"/>
      <c r="I5" s="236" t="s">
        <v>6</v>
      </c>
      <c r="J5" s="237"/>
      <c r="K5" s="236" t="s">
        <v>6</v>
      </c>
      <c r="L5" s="237"/>
      <c r="M5" s="233"/>
    </row>
    <row r="6" spans="1:15" ht="28.5" customHeight="1" thickBot="1">
      <c r="A6" s="21"/>
      <c r="B6" s="22"/>
      <c r="C6" s="22"/>
      <c r="D6" s="23" t="s">
        <v>10</v>
      </c>
      <c r="E6" s="23" t="s">
        <v>11</v>
      </c>
      <c r="F6" s="23" t="s">
        <v>12</v>
      </c>
      <c r="G6" s="23" t="s">
        <v>11</v>
      </c>
      <c r="H6" s="23" t="s">
        <v>12</v>
      </c>
      <c r="I6" s="23" t="s">
        <v>11</v>
      </c>
      <c r="J6" s="23" t="s">
        <v>12</v>
      </c>
      <c r="K6" s="23" t="s">
        <v>11</v>
      </c>
      <c r="L6" s="23" t="s">
        <v>12</v>
      </c>
      <c r="M6" s="76"/>
    </row>
    <row r="7" spans="1:15" s="7" customFormat="1" ht="30" customHeight="1" thickBot="1">
      <c r="A7" s="253" t="s">
        <v>23</v>
      </c>
      <c r="B7" s="254"/>
      <c r="C7" s="254"/>
      <c r="D7" s="254"/>
      <c r="E7" s="254"/>
      <c r="F7" s="255"/>
      <c r="G7" s="24">
        <f t="shared" ref="G7:L7" si="0">SUM(G8:G36)</f>
        <v>592180</v>
      </c>
      <c r="H7" s="24">
        <f t="shared" si="0"/>
        <v>5000</v>
      </c>
      <c r="I7" s="24">
        <f t="shared" si="0"/>
        <v>257137.30360999994</v>
      </c>
      <c r="J7" s="24">
        <f t="shared" si="0"/>
        <v>1941.31666</v>
      </c>
      <c r="K7" s="24">
        <f t="shared" si="0"/>
        <v>2839950.8405900011</v>
      </c>
      <c r="L7" s="24">
        <f t="shared" si="0"/>
        <v>40388.383279999995</v>
      </c>
      <c r="M7" s="77"/>
      <c r="O7" s="149"/>
    </row>
    <row r="8" spans="1:15" ht="100.5" customHeight="1">
      <c r="A8" s="243" t="s">
        <v>50</v>
      </c>
      <c r="B8" s="256">
        <v>41431</v>
      </c>
      <c r="C8" s="260">
        <v>43830</v>
      </c>
      <c r="D8" s="25" t="s">
        <v>0</v>
      </c>
      <c r="E8" s="25">
        <v>24500</v>
      </c>
      <c r="F8" s="227"/>
      <c r="G8" s="227">
        <v>400</v>
      </c>
      <c r="H8" s="228"/>
      <c r="I8" s="229">
        <v>233.08212</v>
      </c>
      <c r="J8" s="262"/>
      <c r="K8" s="229">
        <f>163627.86457+I8</f>
        <v>163860.94669000001</v>
      </c>
      <c r="L8" s="229"/>
      <c r="M8" s="234" t="s">
        <v>173</v>
      </c>
    </row>
    <row r="9" spans="1:15" ht="100.5" customHeight="1">
      <c r="A9" s="206"/>
      <c r="B9" s="200"/>
      <c r="C9" s="261"/>
      <c r="D9" s="26" t="s">
        <v>1</v>
      </c>
      <c r="E9" s="26">
        <v>38000</v>
      </c>
      <c r="F9" s="198"/>
      <c r="G9" s="198"/>
      <c r="H9" s="208"/>
      <c r="I9" s="212"/>
      <c r="J9" s="213"/>
      <c r="K9" s="212"/>
      <c r="L9" s="212"/>
      <c r="M9" s="205"/>
    </row>
    <row r="10" spans="1:15" s="9" customFormat="1" ht="90" customHeight="1">
      <c r="A10" s="206" t="s">
        <v>43</v>
      </c>
      <c r="B10" s="200">
        <v>42410</v>
      </c>
      <c r="C10" s="200">
        <v>45291</v>
      </c>
      <c r="D10" s="26" t="s">
        <v>1</v>
      </c>
      <c r="E10" s="26">
        <v>140000</v>
      </c>
      <c r="F10" s="26"/>
      <c r="G10" s="198">
        <v>59300</v>
      </c>
      <c r="H10" s="208"/>
      <c r="I10" s="212">
        <v>32446.476579999999</v>
      </c>
      <c r="J10" s="213"/>
      <c r="K10" s="212">
        <f>168216.49098+I10</f>
        <v>200662.96755999999</v>
      </c>
      <c r="L10" s="212"/>
      <c r="M10" s="205" t="s">
        <v>157</v>
      </c>
    </row>
    <row r="11" spans="1:15" s="9" customFormat="1" ht="84" customHeight="1">
      <c r="A11" s="206"/>
      <c r="B11" s="200"/>
      <c r="C11" s="200"/>
      <c r="D11" s="26" t="s">
        <v>4</v>
      </c>
      <c r="E11" s="26">
        <v>49450</v>
      </c>
      <c r="F11" s="26"/>
      <c r="G11" s="198"/>
      <c r="H11" s="208"/>
      <c r="I11" s="212"/>
      <c r="J11" s="213"/>
      <c r="K11" s="212"/>
      <c r="L11" s="212"/>
      <c r="M11" s="205"/>
    </row>
    <row r="12" spans="1:15" ht="54" customHeight="1">
      <c r="A12" s="206" t="s">
        <v>52</v>
      </c>
      <c r="B12" s="200">
        <v>40115</v>
      </c>
      <c r="C12" s="200">
        <v>43737</v>
      </c>
      <c r="D12" s="26" t="s">
        <v>0</v>
      </c>
      <c r="E12" s="26">
        <v>75892</v>
      </c>
      <c r="F12" s="198"/>
      <c r="G12" s="198">
        <v>0</v>
      </c>
      <c r="H12" s="208"/>
      <c r="I12" s="212">
        <v>1489.46657</v>
      </c>
      <c r="J12" s="212"/>
      <c r="K12" s="212">
        <f>391974.5999+H12</f>
        <v>391974.59989999997</v>
      </c>
      <c r="L12" s="212"/>
      <c r="M12" s="235" t="s">
        <v>158</v>
      </c>
    </row>
    <row r="13" spans="1:15" ht="57" customHeight="1">
      <c r="A13" s="206"/>
      <c r="B13" s="200"/>
      <c r="C13" s="200"/>
      <c r="D13" s="26" t="s">
        <v>2</v>
      </c>
      <c r="E13" s="26">
        <v>140000</v>
      </c>
      <c r="F13" s="198"/>
      <c r="G13" s="198"/>
      <c r="H13" s="208"/>
      <c r="I13" s="212"/>
      <c r="J13" s="212"/>
      <c r="K13" s="212"/>
      <c r="L13" s="212"/>
      <c r="M13" s="235"/>
    </row>
    <row r="14" spans="1:15" s="9" customFormat="1" ht="36" customHeight="1">
      <c r="A14" s="195" t="s">
        <v>51</v>
      </c>
      <c r="B14" s="201" t="s">
        <v>65</v>
      </c>
      <c r="C14" s="201" t="s">
        <v>66</v>
      </c>
      <c r="D14" s="46" t="s">
        <v>4</v>
      </c>
      <c r="E14" s="46">
        <v>108190</v>
      </c>
      <c r="F14" s="217"/>
      <c r="G14" s="217">
        <v>56000</v>
      </c>
      <c r="H14" s="203"/>
      <c r="I14" s="267">
        <v>23190.8233</v>
      </c>
      <c r="J14" s="267"/>
      <c r="K14" s="267">
        <f>117939.54392+H14</f>
        <v>117939.54392</v>
      </c>
      <c r="L14" s="267"/>
      <c r="M14" s="269" t="s">
        <v>136</v>
      </c>
    </row>
    <row r="15" spans="1:15" s="9" customFormat="1" ht="29.25" customHeight="1">
      <c r="A15" s="196"/>
      <c r="B15" s="257"/>
      <c r="C15" s="257"/>
      <c r="D15" s="46" t="s">
        <v>1</v>
      </c>
      <c r="E15" s="46">
        <v>114000</v>
      </c>
      <c r="F15" s="219"/>
      <c r="G15" s="219"/>
      <c r="H15" s="263"/>
      <c r="I15" s="268"/>
      <c r="J15" s="268"/>
      <c r="K15" s="268"/>
      <c r="L15" s="268"/>
      <c r="M15" s="270"/>
    </row>
    <row r="16" spans="1:15" ht="87.75" customHeight="1">
      <c r="A16" s="47" t="s">
        <v>20</v>
      </c>
      <c r="B16" s="14">
        <v>40163</v>
      </c>
      <c r="C16" s="28">
        <v>45101</v>
      </c>
      <c r="D16" s="26" t="s">
        <v>3</v>
      </c>
      <c r="E16" s="26">
        <v>22132000</v>
      </c>
      <c r="F16" s="26"/>
      <c r="G16" s="118">
        <v>130</v>
      </c>
      <c r="H16" s="119"/>
      <c r="I16" s="170">
        <v>3596.3392699999999</v>
      </c>
      <c r="J16" s="170"/>
      <c r="K16" s="170">
        <f>396912.82844+I16</f>
        <v>400509.16771000001</v>
      </c>
      <c r="L16" s="170"/>
      <c r="M16" s="74" t="s">
        <v>159</v>
      </c>
    </row>
    <row r="17" spans="1:18" ht="150.75" customHeight="1">
      <c r="A17" s="47" t="s">
        <v>35</v>
      </c>
      <c r="B17" s="14">
        <v>41040</v>
      </c>
      <c r="C17" s="14">
        <v>43797</v>
      </c>
      <c r="D17" s="26" t="s">
        <v>4</v>
      </c>
      <c r="E17" s="26">
        <v>200000</v>
      </c>
      <c r="F17" s="26">
        <v>20000</v>
      </c>
      <c r="G17" s="118">
        <v>37000</v>
      </c>
      <c r="H17" s="119">
        <v>5000</v>
      </c>
      <c r="I17" s="170">
        <v>14790.739380000001</v>
      </c>
      <c r="J17" s="170">
        <v>1941.31666</v>
      </c>
      <c r="K17" s="170">
        <f>353684.85275+I17</f>
        <v>368475.59213</v>
      </c>
      <c r="L17" s="170">
        <f>38447.06662+J17</f>
        <v>40388.383279999995</v>
      </c>
      <c r="M17" s="74" t="s">
        <v>174</v>
      </c>
    </row>
    <row r="18" spans="1:18" s="9" customFormat="1" ht="30" customHeight="1">
      <c r="A18" s="258" t="s">
        <v>77</v>
      </c>
      <c r="B18" s="67" t="s">
        <v>98</v>
      </c>
      <c r="C18" s="67" t="s">
        <v>99</v>
      </c>
      <c r="D18" s="68" t="s">
        <v>4</v>
      </c>
      <c r="E18" s="68">
        <v>16000</v>
      </c>
      <c r="F18" s="68"/>
      <c r="G18" s="217">
        <v>32500</v>
      </c>
      <c r="H18" s="203"/>
      <c r="I18" s="267">
        <v>2559.8254099999999</v>
      </c>
      <c r="J18" s="267"/>
      <c r="K18" s="267">
        <f>59639.55053+I18</f>
        <v>62199.375939999998</v>
      </c>
      <c r="L18" s="267"/>
      <c r="M18" s="269" t="s">
        <v>160</v>
      </c>
    </row>
    <row r="19" spans="1:18" s="9" customFormat="1" ht="34.5" customHeight="1">
      <c r="A19" s="259"/>
      <c r="B19" s="67">
        <v>43382</v>
      </c>
      <c r="C19" s="67">
        <v>44539</v>
      </c>
      <c r="D19" s="68" t="s">
        <v>4</v>
      </c>
      <c r="E19" s="264">
        <v>250000</v>
      </c>
      <c r="F19" s="68"/>
      <c r="G19" s="219"/>
      <c r="H19" s="263"/>
      <c r="I19" s="268"/>
      <c r="J19" s="268"/>
      <c r="K19" s="268"/>
      <c r="L19" s="268"/>
      <c r="M19" s="270"/>
    </row>
    <row r="20" spans="1:18" s="9" customFormat="1" ht="47.25" customHeight="1">
      <c r="A20" s="69" t="s">
        <v>75</v>
      </c>
      <c r="B20" s="201">
        <v>42652</v>
      </c>
      <c r="C20" s="201">
        <v>44539</v>
      </c>
      <c r="D20" s="203" t="s">
        <v>4</v>
      </c>
      <c r="E20" s="265"/>
      <c r="F20" s="61"/>
      <c r="G20" s="118">
        <v>84750</v>
      </c>
      <c r="H20" s="118"/>
      <c r="I20" s="170">
        <v>32047.38623</v>
      </c>
      <c r="J20" s="170"/>
      <c r="K20" s="170">
        <f>215007.00447+I20</f>
        <v>247054.39070000002</v>
      </c>
      <c r="L20" s="170"/>
      <c r="M20" s="74" t="s">
        <v>132</v>
      </c>
    </row>
    <row r="21" spans="1:18" s="9" customFormat="1" ht="45" customHeight="1">
      <c r="A21" s="69" t="s">
        <v>127</v>
      </c>
      <c r="B21" s="257"/>
      <c r="C21" s="257"/>
      <c r="D21" s="263"/>
      <c r="E21" s="266"/>
      <c r="F21" s="61"/>
      <c r="G21" s="118">
        <v>42000</v>
      </c>
      <c r="H21" s="61"/>
      <c r="I21" s="170">
        <v>7914.4796500000002</v>
      </c>
      <c r="J21" s="170"/>
      <c r="K21" s="170">
        <f>32232.72593+I21</f>
        <v>40147.205580000002</v>
      </c>
      <c r="L21" s="170"/>
      <c r="M21" s="74" t="s">
        <v>133</v>
      </c>
    </row>
    <row r="22" spans="1:18" s="9" customFormat="1" ht="62.25" customHeight="1">
      <c r="A22" s="69" t="s">
        <v>74</v>
      </c>
      <c r="B22" s="60"/>
      <c r="C22" s="60"/>
      <c r="D22" s="61"/>
      <c r="E22" s="61"/>
      <c r="F22" s="61"/>
      <c r="G22" s="113"/>
      <c r="H22" s="61"/>
      <c r="I22" s="170"/>
      <c r="J22" s="170"/>
      <c r="K22" s="170"/>
      <c r="L22" s="170"/>
      <c r="M22" s="74" t="s">
        <v>128</v>
      </c>
    </row>
    <row r="23" spans="1:18" s="9" customFormat="1" ht="58.2" customHeight="1">
      <c r="A23" s="69" t="s">
        <v>71</v>
      </c>
      <c r="B23" s="60"/>
      <c r="C23" s="60"/>
      <c r="D23" s="61"/>
      <c r="E23" s="61"/>
      <c r="F23" s="61"/>
      <c r="G23" s="113"/>
      <c r="H23" s="61"/>
      <c r="I23" s="170"/>
      <c r="J23" s="170"/>
      <c r="K23" s="170"/>
      <c r="L23" s="170"/>
      <c r="M23" s="74" t="s">
        <v>175</v>
      </c>
    </row>
    <row r="24" spans="1:18" s="9" customFormat="1" ht="43.5" customHeight="1">
      <c r="A24" s="69" t="s">
        <v>76</v>
      </c>
      <c r="B24" s="86">
        <v>43378</v>
      </c>
      <c r="C24" s="86">
        <v>45657</v>
      </c>
      <c r="D24" s="85" t="s">
        <v>4</v>
      </c>
      <c r="E24" s="85">
        <v>255297</v>
      </c>
      <c r="F24" s="61"/>
      <c r="G24" s="118">
        <v>64750</v>
      </c>
      <c r="H24" s="61"/>
      <c r="I24" s="170">
        <v>29434.798569999999</v>
      </c>
      <c r="J24" s="170"/>
      <c r="K24" s="170">
        <f>125625.3416+I24</f>
        <v>155060.14017</v>
      </c>
      <c r="L24" s="170"/>
      <c r="M24" s="74" t="s">
        <v>161</v>
      </c>
    </row>
    <row r="25" spans="1:18" s="9" customFormat="1" ht="32.25" customHeight="1">
      <c r="A25" s="258" t="s">
        <v>78</v>
      </c>
      <c r="B25" s="115">
        <v>43704</v>
      </c>
      <c r="C25" s="214">
        <v>45291</v>
      </c>
      <c r="D25" s="217" t="s">
        <v>4</v>
      </c>
      <c r="E25" s="114">
        <v>370236</v>
      </c>
      <c r="F25" s="61"/>
      <c r="G25" s="217">
        <v>35500</v>
      </c>
      <c r="H25" s="217"/>
      <c r="I25" s="267">
        <v>1535.2172599999999</v>
      </c>
      <c r="J25" s="267"/>
      <c r="K25" s="267">
        <f>223666.14134+I25</f>
        <v>225201.35860000001</v>
      </c>
      <c r="L25" s="267"/>
      <c r="M25" s="269" t="s">
        <v>138</v>
      </c>
    </row>
    <row r="26" spans="1:18" s="9" customFormat="1" ht="31.5" customHeight="1">
      <c r="A26" s="259"/>
      <c r="B26" s="115">
        <v>43749</v>
      </c>
      <c r="C26" s="216"/>
      <c r="D26" s="219"/>
      <c r="E26" s="114">
        <v>53400</v>
      </c>
      <c r="F26" s="61"/>
      <c r="G26" s="219"/>
      <c r="H26" s="219"/>
      <c r="I26" s="268"/>
      <c r="J26" s="268"/>
      <c r="K26" s="268"/>
      <c r="L26" s="268"/>
      <c r="M26" s="270"/>
    </row>
    <row r="27" spans="1:18" s="9" customFormat="1" ht="54.75" customHeight="1">
      <c r="A27" s="128" t="s">
        <v>142</v>
      </c>
      <c r="B27" s="117">
        <v>43796</v>
      </c>
      <c r="C27" s="120">
        <v>44926</v>
      </c>
      <c r="D27" s="118" t="s">
        <v>4</v>
      </c>
      <c r="E27" s="118">
        <v>255100</v>
      </c>
      <c r="F27" s="61"/>
      <c r="G27" s="118">
        <v>99000</v>
      </c>
      <c r="H27" s="61"/>
      <c r="I27" s="170">
        <v>97459.35802</v>
      </c>
      <c r="J27" s="170"/>
      <c r="K27" s="170">
        <f>I27</f>
        <v>97459.35802</v>
      </c>
      <c r="L27" s="170"/>
      <c r="M27" s="127" t="s">
        <v>162</v>
      </c>
    </row>
    <row r="28" spans="1:18" s="9" customFormat="1" ht="43.5" customHeight="1">
      <c r="A28" s="69" t="s">
        <v>135</v>
      </c>
      <c r="B28" s="60"/>
      <c r="C28" s="60"/>
      <c r="D28" s="61"/>
      <c r="E28" s="61"/>
      <c r="F28" s="61"/>
      <c r="G28" s="113">
        <v>0</v>
      </c>
      <c r="H28" s="61"/>
      <c r="I28" s="170"/>
      <c r="J28" s="170"/>
      <c r="K28" s="170"/>
      <c r="L28" s="170"/>
      <c r="M28" s="74" t="s">
        <v>163</v>
      </c>
    </row>
    <row r="29" spans="1:18" s="9" customFormat="1" ht="45.75" customHeight="1">
      <c r="A29" s="69" t="s">
        <v>73</v>
      </c>
      <c r="B29" s="60"/>
      <c r="C29" s="60"/>
      <c r="D29" s="61"/>
      <c r="E29" s="61"/>
      <c r="F29" s="61"/>
      <c r="G29" s="113">
        <v>0</v>
      </c>
      <c r="H29" s="61"/>
      <c r="I29" s="170"/>
      <c r="J29" s="170"/>
      <c r="K29" s="170"/>
      <c r="L29" s="170"/>
      <c r="M29" s="74" t="s">
        <v>139</v>
      </c>
    </row>
    <row r="30" spans="1:18" s="3" customFormat="1" ht="31.5" customHeight="1">
      <c r="A30" s="244" t="s">
        <v>13</v>
      </c>
      <c r="B30" s="197">
        <v>40990</v>
      </c>
      <c r="C30" s="197">
        <v>43646</v>
      </c>
      <c r="D30" s="66" t="s">
        <v>0</v>
      </c>
      <c r="E30" s="66">
        <v>25800</v>
      </c>
      <c r="F30" s="198"/>
      <c r="G30" s="198">
        <v>0</v>
      </c>
      <c r="H30" s="208"/>
      <c r="I30" s="212"/>
      <c r="J30" s="213"/>
      <c r="K30" s="212">
        <f>127772.76574+I30</f>
        <v>127772.76574</v>
      </c>
      <c r="L30" s="212"/>
      <c r="M30" s="205" t="s">
        <v>137</v>
      </c>
      <c r="N30" s="1"/>
      <c r="O30" s="1"/>
      <c r="P30" s="1"/>
      <c r="Q30" s="1"/>
      <c r="R30" s="1"/>
    </row>
    <row r="31" spans="1:18" s="3" customFormat="1" ht="29.25" customHeight="1">
      <c r="A31" s="244"/>
      <c r="B31" s="197"/>
      <c r="C31" s="197"/>
      <c r="D31" s="66" t="s">
        <v>1</v>
      </c>
      <c r="E31" s="66">
        <v>30000</v>
      </c>
      <c r="F31" s="198"/>
      <c r="G31" s="198"/>
      <c r="H31" s="208"/>
      <c r="I31" s="212"/>
      <c r="J31" s="213"/>
      <c r="K31" s="212"/>
      <c r="L31" s="212"/>
      <c r="M31" s="205"/>
      <c r="N31" s="1"/>
      <c r="O31" s="1"/>
      <c r="P31" s="1"/>
      <c r="Q31" s="1"/>
      <c r="R31" s="1"/>
    </row>
    <row r="32" spans="1:18" s="3" customFormat="1" ht="83.25" customHeight="1">
      <c r="A32" s="56" t="s">
        <v>60</v>
      </c>
      <c r="B32" s="45">
        <v>41829</v>
      </c>
      <c r="C32" s="45">
        <v>44012</v>
      </c>
      <c r="D32" s="66" t="s">
        <v>1</v>
      </c>
      <c r="E32" s="66">
        <v>75000</v>
      </c>
      <c r="F32" s="26"/>
      <c r="G32" s="118">
        <v>11200</v>
      </c>
      <c r="H32" s="119"/>
      <c r="I32" s="170">
        <v>2977.4343800000001</v>
      </c>
      <c r="J32" s="170"/>
      <c r="K32" s="170">
        <f>152232.98933+I32</f>
        <v>155210.42371</v>
      </c>
      <c r="L32" s="170"/>
      <c r="M32" s="74" t="s">
        <v>176</v>
      </c>
      <c r="N32" s="1"/>
      <c r="O32" s="1"/>
      <c r="P32" s="1"/>
      <c r="Q32" s="1"/>
      <c r="R32" s="1"/>
    </row>
    <row r="33" spans="1:18" s="3" customFormat="1" ht="117" customHeight="1">
      <c r="A33" s="56" t="s">
        <v>45</v>
      </c>
      <c r="B33" s="45">
        <v>42457</v>
      </c>
      <c r="C33" s="45">
        <v>44561</v>
      </c>
      <c r="D33" s="66" t="s">
        <v>1</v>
      </c>
      <c r="E33" s="66">
        <v>40000</v>
      </c>
      <c r="F33" s="26"/>
      <c r="G33" s="118">
        <v>30000</v>
      </c>
      <c r="H33" s="119"/>
      <c r="I33" s="170">
        <v>209.46440999999999</v>
      </c>
      <c r="J33" s="170"/>
      <c r="K33" s="170">
        <f>41363.34064+I33</f>
        <v>41572.805050000003</v>
      </c>
      <c r="L33" s="170"/>
      <c r="M33" s="74" t="s">
        <v>177</v>
      </c>
      <c r="N33" s="1"/>
      <c r="O33" s="1"/>
      <c r="P33" s="1"/>
      <c r="Q33" s="1"/>
      <c r="R33" s="1"/>
    </row>
    <row r="34" spans="1:18" s="3" customFormat="1" ht="45.75" customHeight="1">
      <c r="A34" s="69" t="s">
        <v>72</v>
      </c>
      <c r="B34" s="45" t="s">
        <v>68</v>
      </c>
      <c r="C34" s="45" t="s">
        <v>116</v>
      </c>
      <c r="D34" s="66" t="s">
        <v>1</v>
      </c>
      <c r="E34" s="66">
        <v>80000</v>
      </c>
      <c r="F34" s="64"/>
      <c r="G34" s="118">
        <v>24400</v>
      </c>
      <c r="H34" s="119"/>
      <c r="I34" s="170">
        <v>6961.6986900000002</v>
      </c>
      <c r="J34" s="170"/>
      <c r="K34" s="170">
        <f>34245.64722+I34</f>
        <v>41207.345909999996</v>
      </c>
      <c r="L34" s="170"/>
      <c r="M34" s="74" t="s">
        <v>134</v>
      </c>
      <c r="N34" s="84"/>
      <c r="O34" s="1"/>
      <c r="P34" s="1"/>
      <c r="Q34" s="1"/>
      <c r="R34" s="1"/>
    </row>
    <row r="35" spans="1:18" s="3" customFormat="1" ht="60.6" customHeight="1">
      <c r="A35" s="53" t="s">
        <v>165</v>
      </c>
      <c r="B35" s="14">
        <v>42752</v>
      </c>
      <c r="C35" s="14">
        <v>44196</v>
      </c>
      <c r="D35" s="26" t="s">
        <v>41</v>
      </c>
      <c r="E35" s="26">
        <v>8000</v>
      </c>
      <c r="F35" s="26"/>
      <c r="G35" s="118">
        <v>11250</v>
      </c>
      <c r="H35" s="119"/>
      <c r="I35" s="170">
        <v>290.71377000000001</v>
      </c>
      <c r="J35" s="170"/>
      <c r="K35" s="170">
        <f>2066.76764+I35</f>
        <v>2357.4814099999999</v>
      </c>
      <c r="L35" s="170"/>
      <c r="M35" s="74" t="s">
        <v>164</v>
      </c>
      <c r="N35" s="1"/>
      <c r="O35" s="1"/>
      <c r="P35" s="1"/>
      <c r="Q35" s="1"/>
      <c r="R35" s="1"/>
    </row>
    <row r="36" spans="1:18" s="3" customFormat="1" ht="51.6" customHeight="1" thickBot="1">
      <c r="A36" s="171" t="s">
        <v>42</v>
      </c>
      <c r="B36" s="175">
        <v>42734</v>
      </c>
      <c r="C36" s="175">
        <v>43830</v>
      </c>
      <c r="D36" s="176" t="s">
        <v>4</v>
      </c>
      <c r="E36" s="176">
        <v>6000</v>
      </c>
      <c r="F36" s="176"/>
      <c r="G36" s="176">
        <v>4000</v>
      </c>
      <c r="H36" s="172"/>
      <c r="I36" s="180"/>
      <c r="J36" s="180"/>
      <c r="K36" s="180">
        <f>1285.37185+I36</f>
        <v>1285.37185</v>
      </c>
      <c r="L36" s="180"/>
      <c r="M36" s="182" t="s">
        <v>130</v>
      </c>
      <c r="N36" s="1"/>
      <c r="O36" s="1"/>
      <c r="P36" s="1"/>
      <c r="Q36" s="1"/>
      <c r="R36" s="1"/>
    </row>
    <row r="37" spans="1:18" s="7" customFormat="1" ht="36" customHeight="1" thickBot="1">
      <c r="A37" s="209" t="s">
        <v>7</v>
      </c>
      <c r="B37" s="210"/>
      <c r="C37" s="210"/>
      <c r="D37" s="210"/>
      <c r="E37" s="210"/>
      <c r="F37" s="211"/>
      <c r="G37" s="168">
        <f t="shared" ref="G37:L37" si="1">SUM(G38:G55)</f>
        <v>178420</v>
      </c>
      <c r="H37" s="168">
        <f t="shared" si="1"/>
        <v>6000</v>
      </c>
      <c r="I37" s="168">
        <f t="shared" si="1"/>
        <v>52226.042359999999</v>
      </c>
      <c r="J37" s="168">
        <f t="shared" si="1"/>
        <v>1294.4282699999999</v>
      </c>
      <c r="K37" s="168">
        <f t="shared" si="1"/>
        <v>860667.74203000008</v>
      </c>
      <c r="L37" s="168">
        <f t="shared" si="1"/>
        <v>16561.248869999999</v>
      </c>
      <c r="M37" s="183"/>
    </row>
    <row r="38" spans="1:18" ht="54.75" customHeight="1">
      <c r="A38" s="52" t="s">
        <v>21</v>
      </c>
      <c r="B38" s="54">
        <v>41869</v>
      </c>
      <c r="C38" s="54">
        <v>44316</v>
      </c>
      <c r="D38" s="51" t="s">
        <v>1</v>
      </c>
      <c r="E38" s="51">
        <v>30000</v>
      </c>
      <c r="F38" s="51">
        <v>5000</v>
      </c>
      <c r="G38" s="32">
        <v>8400</v>
      </c>
      <c r="H38" s="62">
        <v>3800</v>
      </c>
      <c r="I38" s="150">
        <v>3059.47858</v>
      </c>
      <c r="J38" s="169">
        <v>634.91463999999996</v>
      </c>
      <c r="K38" s="150">
        <f>52585.31347+I38</f>
        <v>55644.792050000004</v>
      </c>
      <c r="L38" s="150">
        <f>8136.79195+J38</f>
        <v>8771.7065899999998</v>
      </c>
      <c r="M38" s="79" t="s">
        <v>81</v>
      </c>
    </row>
    <row r="39" spans="1:18" ht="57" customHeight="1">
      <c r="A39" s="53" t="s">
        <v>14</v>
      </c>
      <c r="B39" s="48">
        <v>40227</v>
      </c>
      <c r="C39" s="28">
        <v>44926</v>
      </c>
      <c r="D39" s="49" t="s">
        <v>4</v>
      </c>
      <c r="E39" s="49">
        <v>3000</v>
      </c>
      <c r="F39" s="49"/>
      <c r="G39" s="125">
        <v>2000</v>
      </c>
      <c r="H39" s="126"/>
      <c r="I39" s="169">
        <v>1152.3889899999999</v>
      </c>
      <c r="J39" s="169"/>
      <c r="K39" s="169">
        <f>2401.7848+I39</f>
        <v>3554.1737899999998</v>
      </c>
      <c r="L39" s="169"/>
      <c r="M39" s="74" t="s">
        <v>82</v>
      </c>
    </row>
    <row r="40" spans="1:18" ht="73.95" customHeight="1">
      <c r="A40" s="53" t="s">
        <v>36</v>
      </c>
      <c r="B40" s="48">
        <v>41621</v>
      </c>
      <c r="C40" s="48">
        <v>44926</v>
      </c>
      <c r="D40" s="49" t="s">
        <v>4</v>
      </c>
      <c r="E40" s="49">
        <v>20000</v>
      </c>
      <c r="F40" s="49">
        <v>2000</v>
      </c>
      <c r="G40" s="125">
        <v>400</v>
      </c>
      <c r="H40" s="126">
        <v>600</v>
      </c>
      <c r="I40" s="169">
        <v>284.53097000000002</v>
      </c>
      <c r="J40" s="169">
        <v>659.51363000000003</v>
      </c>
      <c r="K40" s="151">
        <f>7439.85874+I40</f>
        <v>7724.3897099999995</v>
      </c>
      <c r="L40" s="169">
        <f>6355.42307+J40</f>
        <v>7014.9367000000002</v>
      </c>
      <c r="M40" s="74" t="s">
        <v>117</v>
      </c>
    </row>
    <row r="41" spans="1:18" ht="59.4" customHeight="1">
      <c r="A41" s="199" t="s">
        <v>61</v>
      </c>
      <c r="B41" s="200">
        <v>40350</v>
      </c>
      <c r="C41" s="200">
        <v>44030</v>
      </c>
      <c r="D41" s="49" t="s">
        <v>0</v>
      </c>
      <c r="E41" s="49">
        <f>57986+10639</f>
        <v>68625</v>
      </c>
      <c r="F41" s="198"/>
      <c r="G41" s="241">
        <v>22800</v>
      </c>
      <c r="H41" s="221"/>
      <c r="I41" s="222">
        <v>20841.909970000001</v>
      </c>
      <c r="J41" s="222"/>
      <c r="K41" s="275">
        <f>408545.01518+I41</f>
        <v>429386.92514999997</v>
      </c>
      <c r="L41" s="222"/>
      <c r="M41" s="205" t="s">
        <v>118</v>
      </c>
    </row>
    <row r="42" spans="1:18" ht="104.25" customHeight="1">
      <c r="A42" s="199"/>
      <c r="B42" s="200"/>
      <c r="C42" s="200"/>
      <c r="D42" s="49" t="s">
        <v>1</v>
      </c>
      <c r="E42" s="49">
        <f>48886+73000+20000</f>
        <v>141886</v>
      </c>
      <c r="F42" s="198"/>
      <c r="G42" s="242"/>
      <c r="H42" s="221"/>
      <c r="I42" s="222"/>
      <c r="J42" s="222"/>
      <c r="K42" s="276"/>
      <c r="L42" s="222"/>
      <c r="M42" s="205"/>
    </row>
    <row r="43" spans="1:18" ht="36.75" customHeight="1">
      <c r="A43" s="199" t="s">
        <v>15</v>
      </c>
      <c r="B43" s="200">
        <v>41222</v>
      </c>
      <c r="C43" s="200">
        <v>43830</v>
      </c>
      <c r="D43" s="49" t="s">
        <v>0</v>
      </c>
      <c r="E43" s="49">
        <v>19800</v>
      </c>
      <c r="F43" s="49"/>
      <c r="G43" s="220">
        <v>0</v>
      </c>
      <c r="H43" s="221"/>
      <c r="I43" s="222">
        <v>1368.05864</v>
      </c>
      <c r="J43" s="222"/>
      <c r="K43" s="222">
        <f>79274.14018+I43</f>
        <v>80642.198820000005</v>
      </c>
      <c r="L43" s="222"/>
      <c r="M43" s="205" t="s">
        <v>97</v>
      </c>
    </row>
    <row r="44" spans="1:18" ht="34.5" customHeight="1">
      <c r="A44" s="199"/>
      <c r="B44" s="200"/>
      <c r="C44" s="200"/>
      <c r="D44" s="49" t="s">
        <v>1</v>
      </c>
      <c r="E44" s="49">
        <v>9000</v>
      </c>
      <c r="F44" s="49"/>
      <c r="G44" s="220"/>
      <c r="H44" s="221"/>
      <c r="I44" s="222"/>
      <c r="J44" s="222"/>
      <c r="K44" s="222"/>
      <c r="L44" s="222"/>
      <c r="M44" s="205"/>
    </row>
    <row r="45" spans="1:18" ht="51" customHeight="1">
      <c r="A45" s="55" t="s">
        <v>31</v>
      </c>
      <c r="B45" s="48">
        <v>42223</v>
      </c>
      <c r="C45" s="48">
        <v>44926</v>
      </c>
      <c r="D45" s="49" t="s">
        <v>1</v>
      </c>
      <c r="E45" s="49">
        <v>60000</v>
      </c>
      <c r="F45" s="49"/>
      <c r="G45" s="125">
        <v>20000</v>
      </c>
      <c r="H45" s="126"/>
      <c r="I45" s="177">
        <v>3019.9090099999999</v>
      </c>
      <c r="J45" s="177"/>
      <c r="K45" s="177">
        <f>46080.0495+I45</f>
        <v>49099.958510000004</v>
      </c>
      <c r="L45" s="177"/>
      <c r="M45" s="74" t="s">
        <v>83</v>
      </c>
    </row>
    <row r="46" spans="1:18" ht="46.95" customHeight="1">
      <c r="A46" s="53" t="s">
        <v>32</v>
      </c>
      <c r="B46" s="48">
        <v>42136</v>
      </c>
      <c r="C46" s="48">
        <v>44328</v>
      </c>
      <c r="D46" s="49" t="s">
        <v>4</v>
      </c>
      <c r="E46" s="49">
        <v>4300</v>
      </c>
      <c r="F46" s="49">
        <v>1843</v>
      </c>
      <c r="G46" s="125">
        <v>420</v>
      </c>
      <c r="H46" s="126">
        <v>300</v>
      </c>
      <c r="I46" s="177"/>
      <c r="J46" s="177"/>
      <c r="K46" s="177">
        <f>967.42234+I46</f>
        <v>967.42233999999996</v>
      </c>
      <c r="L46" s="177"/>
      <c r="M46" s="74" t="s">
        <v>84</v>
      </c>
    </row>
    <row r="47" spans="1:18" s="3" customFormat="1" ht="51" customHeight="1">
      <c r="A47" s="99" t="s">
        <v>108</v>
      </c>
      <c r="B47" s="102">
        <v>43285</v>
      </c>
      <c r="C47" s="103">
        <v>44016</v>
      </c>
      <c r="D47" s="98" t="s">
        <v>4</v>
      </c>
      <c r="E47" s="98">
        <v>2830</v>
      </c>
      <c r="F47" s="98">
        <v>1870</v>
      </c>
      <c r="G47" s="126">
        <v>5000</v>
      </c>
      <c r="H47" s="126">
        <v>1000</v>
      </c>
      <c r="I47" s="177"/>
      <c r="J47" s="177"/>
      <c r="K47" s="177">
        <f>I47</f>
        <v>0</v>
      </c>
      <c r="L47" s="177">
        <f>J47</f>
        <v>0</v>
      </c>
      <c r="M47" s="74" t="s">
        <v>131</v>
      </c>
      <c r="N47" s="1"/>
      <c r="O47" s="1"/>
      <c r="P47" s="1"/>
      <c r="Q47" s="1"/>
      <c r="R47" s="1"/>
    </row>
    <row r="48" spans="1:18" s="3" customFormat="1" ht="80.400000000000006" customHeight="1">
      <c r="A48" s="53" t="s">
        <v>39</v>
      </c>
      <c r="B48" s="48">
        <v>42411</v>
      </c>
      <c r="C48" s="48">
        <v>43830</v>
      </c>
      <c r="D48" s="49" t="s">
        <v>4</v>
      </c>
      <c r="E48" s="49">
        <v>100000</v>
      </c>
      <c r="F48" s="49"/>
      <c r="G48" s="125">
        <v>49000</v>
      </c>
      <c r="H48" s="126"/>
      <c r="I48" s="177">
        <v>22499.766199999998</v>
      </c>
      <c r="J48" s="177"/>
      <c r="K48" s="177">
        <f>179487.59099+I48</f>
        <v>201987.35719000001</v>
      </c>
      <c r="L48" s="177"/>
      <c r="M48" s="74" t="s">
        <v>85</v>
      </c>
      <c r="N48" s="1"/>
      <c r="O48" s="1"/>
      <c r="P48" s="1"/>
      <c r="Q48" s="1"/>
      <c r="R48" s="1"/>
    </row>
    <row r="49" spans="1:18" s="3" customFormat="1" ht="66" customHeight="1">
      <c r="A49" s="97" t="s">
        <v>56</v>
      </c>
      <c r="B49" s="96">
        <v>42713</v>
      </c>
      <c r="C49" s="96">
        <v>44561</v>
      </c>
      <c r="D49" s="94" t="s">
        <v>4</v>
      </c>
      <c r="E49" s="94">
        <v>100000</v>
      </c>
      <c r="F49" s="94"/>
      <c r="G49" s="125">
        <v>0</v>
      </c>
      <c r="H49" s="126"/>
      <c r="I49" s="177"/>
      <c r="J49" s="177"/>
      <c r="K49" s="177">
        <f>I49</f>
        <v>0</v>
      </c>
      <c r="L49" s="177"/>
      <c r="M49" s="101" t="s">
        <v>119</v>
      </c>
      <c r="N49" s="1"/>
      <c r="O49" s="1"/>
      <c r="P49" s="1"/>
      <c r="Q49" s="1"/>
      <c r="R49" s="1"/>
    </row>
    <row r="50" spans="1:18" s="3" customFormat="1" ht="72" customHeight="1">
      <c r="A50" s="142" t="s">
        <v>146</v>
      </c>
      <c r="B50" s="102">
        <v>43805</v>
      </c>
      <c r="C50" s="102">
        <v>44926</v>
      </c>
      <c r="D50" s="125" t="s">
        <v>4</v>
      </c>
      <c r="E50" s="125">
        <v>13550</v>
      </c>
      <c r="F50" s="125"/>
      <c r="G50" s="125">
        <v>8000</v>
      </c>
      <c r="H50" s="126"/>
      <c r="I50" s="152"/>
      <c r="J50" s="152"/>
      <c r="K50" s="152">
        <f t="shared" ref="K50:K52" si="2">I50</f>
        <v>0</v>
      </c>
      <c r="L50" s="152"/>
      <c r="M50" s="112" t="s">
        <v>151</v>
      </c>
      <c r="N50" s="1"/>
      <c r="O50" s="1"/>
      <c r="P50" s="1"/>
      <c r="Q50" s="1"/>
      <c r="R50" s="1"/>
    </row>
    <row r="51" spans="1:18" s="3" customFormat="1" ht="49.5" customHeight="1">
      <c r="A51" s="142" t="s">
        <v>147</v>
      </c>
      <c r="B51" s="102">
        <v>43798</v>
      </c>
      <c r="C51" s="102">
        <v>45280</v>
      </c>
      <c r="D51" s="125" t="s">
        <v>4</v>
      </c>
      <c r="E51" s="125">
        <v>17000</v>
      </c>
      <c r="F51" s="125"/>
      <c r="G51" s="125">
        <v>15000</v>
      </c>
      <c r="H51" s="126"/>
      <c r="I51" s="152"/>
      <c r="J51" s="152"/>
      <c r="K51" s="152">
        <f t="shared" si="2"/>
        <v>0</v>
      </c>
      <c r="L51" s="152"/>
      <c r="M51" s="112" t="s">
        <v>149</v>
      </c>
      <c r="N51" s="1"/>
      <c r="O51" s="1"/>
      <c r="P51" s="1"/>
      <c r="Q51" s="1"/>
      <c r="R51" s="1"/>
    </row>
    <row r="52" spans="1:18" s="3" customFormat="1" ht="47.4" customHeight="1">
      <c r="A52" s="142" t="s">
        <v>148</v>
      </c>
      <c r="B52" s="102"/>
      <c r="C52" s="102"/>
      <c r="D52" s="125" t="s">
        <v>4</v>
      </c>
      <c r="E52" s="125"/>
      <c r="F52" s="125"/>
      <c r="G52" s="125">
        <v>10000</v>
      </c>
      <c r="H52" s="126"/>
      <c r="I52" s="152"/>
      <c r="J52" s="152"/>
      <c r="K52" s="152">
        <f t="shared" si="2"/>
        <v>0</v>
      </c>
      <c r="L52" s="152"/>
      <c r="M52" s="112" t="s">
        <v>150</v>
      </c>
      <c r="N52" s="1"/>
      <c r="O52" s="1"/>
      <c r="P52" s="1"/>
      <c r="Q52" s="1"/>
      <c r="R52" s="1"/>
    </row>
    <row r="53" spans="1:18" s="3" customFormat="1" ht="108.6" customHeight="1">
      <c r="A53" s="109" t="s">
        <v>123</v>
      </c>
      <c r="B53" s="108">
        <v>41884</v>
      </c>
      <c r="C53" s="108">
        <v>43830</v>
      </c>
      <c r="D53" s="107" t="s">
        <v>4</v>
      </c>
      <c r="E53" s="107">
        <v>13200</v>
      </c>
      <c r="F53" s="107"/>
      <c r="G53" s="125">
        <v>0</v>
      </c>
      <c r="H53" s="125"/>
      <c r="I53" s="177"/>
      <c r="J53" s="129"/>
      <c r="K53" s="177">
        <f>30687.92141+I53</f>
        <v>30687.921409999999</v>
      </c>
      <c r="L53" s="177"/>
      <c r="M53" s="112" t="s">
        <v>124</v>
      </c>
      <c r="N53" s="1"/>
      <c r="O53" s="1"/>
      <c r="P53" s="1"/>
      <c r="Q53" s="1"/>
      <c r="R53" s="1"/>
    </row>
    <row r="54" spans="1:18" s="3" customFormat="1" ht="55.8" customHeight="1">
      <c r="A54" s="97" t="s">
        <v>109</v>
      </c>
      <c r="B54" s="102">
        <v>43035</v>
      </c>
      <c r="C54" s="102">
        <v>44925</v>
      </c>
      <c r="D54" s="98" t="s">
        <v>4</v>
      </c>
      <c r="E54" s="98">
        <v>30000</v>
      </c>
      <c r="F54" s="98">
        <v>2000</v>
      </c>
      <c r="G54" s="125">
        <v>400</v>
      </c>
      <c r="H54" s="126">
        <v>300</v>
      </c>
      <c r="I54" s="177"/>
      <c r="J54" s="177"/>
      <c r="K54" s="177">
        <f>477.03306+I54</f>
        <v>477.03305999999998</v>
      </c>
      <c r="L54" s="177">
        <f>774.60558+J54</f>
        <v>774.60558000000003</v>
      </c>
      <c r="M54" s="101" t="s">
        <v>125</v>
      </c>
      <c r="N54" s="1"/>
      <c r="O54" s="1"/>
      <c r="P54" s="1"/>
      <c r="Q54" s="1"/>
      <c r="R54" s="1"/>
    </row>
    <row r="55" spans="1:18" s="3" customFormat="1" ht="72" customHeight="1" thickBot="1">
      <c r="A55" s="97" t="s">
        <v>110</v>
      </c>
      <c r="B55" s="104">
        <v>27.112017999999999</v>
      </c>
      <c r="C55" s="104">
        <v>27.112020999999999</v>
      </c>
      <c r="D55" s="58" t="s">
        <v>4</v>
      </c>
      <c r="E55" s="58">
        <v>15000</v>
      </c>
      <c r="F55" s="58"/>
      <c r="G55" s="58">
        <v>37000</v>
      </c>
      <c r="H55" s="65"/>
      <c r="I55" s="153"/>
      <c r="J55" s="153"/>
      <c r="K55" s="177">
        <f>495.57+I55</f>
        <v>495.57</v>
      </c>
      <c r="L55" s="153"/>
      <c r="M55" s="101" t="s">
        <v>122</v>
      </c>
      <c r="N55" s="1"/>
      <c r="O55" s="1"/>
      <c r="P55" s="1"/>
      <c r="Q55" s="1"/>
      <c r="R55" s="1"/>
    </row>
    <row r="56" spans="1:18" s="7" customFormat="1" ht="23.25" customHeight="1" thickBot="1">
      <c r="A56" s="277" t="s">
        <v>8</v>
      </c>
      <c r="B56" s="278"/>
      <c r="C56" s="278"/>
      <c r="D56" s="278"/>
      <c r="E56" s="278"/>
      <c r="F56" s="279"/>
      <c r="G56" s="33">
        <f>SUM(G57:G64)</f>
        <v>154800</v>
      </c>
      <c r="H56" s="33">
        <f t="shared" ref="H56:L56" si="3">SUM(H57:H64)</f>
        <v>15250</v>
      </c>
      <c r="I56" s="33">
        <f>SUM(I57:I64)</f>
        <v>58024.153729999998</v>
      </c>
      <c r="J56" s="33">
        <f t="shared" si="3"/>
        <v>1569.23152</v>
      </c>
      <c r="K56" s="33">
        <f t="shared" si="3"/>
        <v>961715.4984540001</v>
      </c>
      <c r="L56" s="33">
        <f t="shared" si="3"/>
        <v>115909.02317</v>
      </c>
      <c r="M56" s="80"/>
    </row>
    <row r="57" spans="1:18" ht="43.2" customHeight="1">
      <c r="A57" s="52" t="s">
        <v>57</v>
      </c>
      <c r="B57" s="54">
        <v>39626</v>
      </c>
      <c r="C57" s="54">
        <v>43983</v>
      </c>
      <c r="D57" s="51" t="s">
        <v>4</v>
      </c>
      <c r="E57" s="51">
        <v>3700</v>
      </c>
      <c r="F57" s="51">
        <v>1814</v>
      </c>
      <c r="G57" s="121">
        <v>300</v>
      </c>
      <c r="H57" s="123"/>
      <c r="I57" s="154">
        <v>304.50198999999998</v>
      </c>
      <c r="J57" s="146"/>
      <c r="K57" s="154">
        <f>9620.780944+I57</f>
        <v>9925.2829340000008</v>
      </c>
      <c r="L57" s="154">
        <f>3649.68102+J57</f>
        <v>3649.68102</v>
      </c>
      <c r="M57" s="79" t="s">
        <v>86</v>
      </c>
    </row>
    <row r="58" spans="1:18" ht="200.25" customHeight="1">
      <c r="A58" s="207" t="s">
        <v>47</v>
      </c>
      <c r="B58" s="200">
        <v>40673</v>
      </c>
      <c r="C58" s="200">
        <v>44284</v>
      </c>
      <c r="D58" s="49" t="s">
        <v>0</v>
      </c>
      <c r="E58" s="49">
        <f>51343+25047+64205+23005</f>
        <v>163600</v>
      </c>
      <c r="F58" s="198"/>
      <c r="G58" s="198">
        <v>129000</v>
      </c>
      <c r="H58" s="208"/>
      <c r="I58" s="212">
        <v>49957.418030000001</v>
      </c>
      <c r="J58" s="213"/>
      <c r="K58" s="212">
        <f>682389.2256+I58</f>
        <v>732346.64363000006</v>
      </c>
      <c r="L58" s="212"/>
      <c r="M58" s="205" t="s">
        <v>178</v>
      </c>
    </row>
    <row r="59" spans="1:18" ht="240" customHeight="1">
      <c r="A59" s="207"/>
      <c r="B59" s="200"/>
      <c r="C59" s="200"/>
      <c r="D59" s="49" t="s">
        <v>1</v>
      </c>
      <c r="E59" s="49">
        <f>108000+43000+99000</f>
        <v>250000</v>
      </c>
      <c r="F59" s="198"/>
      <c r="G59" s="198"/>
      <c r="H59" s="208"/>
      <c r="I59" s="212"/>
      <c r="J59" s="213"/>
      <c r="K59" s="212"/>
      <c r="L59" s="212"/>
      <c r="M59" s="205"/>
    </row>
    <row r="60" spans="1:18" ht="46.5" customHeight="1">
      <c r="A60" s="72" t="s">
        <v>70</v>
      </c>
      <c r="B60" s="71" t="s">
        <v>69</v>
      </c>
      <c r="C60" s="71">
        <v>44119</v>
      </c>
      <c r="D60" s="68" t="s">
        <v>4</v>
      </c>
      <c r="E60" s="70">
        <v>100</v>
      </c>
      <c r="F60" s="70"/>
      <c r="G60" s="118">
        <v>0</v>
      </c>
      <c r="H60" s="119">
        <v>800</v>
      </c>
      <c r="I60" s="161"/>
      <c r="J60" s="162"/>
      <c r="K60" s="161">
        <f>35.07802+I60</f>
        <v>35.078020000000002</v>
      </c>
      <c r="L60" s="161"/>
      <c r="M60" s="74" t="s">
        <v>120</v>
      </c>
    </row>
    <row r="61" spans="1:18" ht="132.75" customHeight="1">
      <c r="A61" s="53" t="s">
        <v>46</v>
      </c>
      <c r="B61" s="48">
        <v>40773</v>
      </c>
      <c r="C61" s="48">
        <v>44561</v>
      </c>
      <c r="D61" s="50" t="s">
        <v>4</v>
      </c>
      <c r="E61" s="50">
        <f>2988.339+4000+20000</f>
        <v>26988.339</v>
      </c>
      <c r="F61" s="50">
        <f>4500+6728.536+9000+4000+7000</f>
        <v>31228.536</v>
      </c>
      <c r="G61" s="118">
        <v>1500</v>
      </c>
      <c r="H61" s="119">
        <v>750</v>
      </c>
      <c r="I61" s="174">
        <v>1633.62725</v>
      </c>
      <c r="J61" s="174"/>
      <c r="K61" s="173">
        <f>66449.64+I61</f>
        <v>68083.267250000004</v>
      </c>
      <c r="L61" s="174">
        <f>65489.76346+J61</f>
        <v>65489.763460000002</v>
      </c>
      <c r="M61" s="74" t="s">
        <v>87</v>
      </c>
    </row>
    <row r="62" spans="1:18" ht="49.2" customHeight="1">
      <c r="A62" s="53" t="s">
        <v>44</v>
      </c>
      <c r="B62" s="48">
        <v>42360</v>
      </c>
      <c r="C62" s="48">
        <v>44012</v>
      </c>
      <c r="D62" s="49" t="s">
        <v>4</v>
      </c>
      <c r="E62" s="49">
        <v>30000</v>
      </c>
      <c r="F62" s="49">
        <v>2000</v>
      </c>
      <c r="G62" s="118">
        <v>24000</v>
      </c>
      <c r="H62" s="119">
        <v>13300</v>
      </c>
      <c r="I62" s="173">
        <v>5963.8021399999998</v>
      </c>
      <c r="J62" s="173">
        <v>261.25905999999998</v>
      </c>
      <c r="K62" s="173">
        <f>50830.52773+I62</f>
        <v>56794.329870000001</v>
      </c>
      <c r="L62" s="173">
        <f>4989.21524+J62</f>
        <v>5250.4743000000008</v>
      </c>
      <c r="M62" s="74" t="s">
        <v>88</v>
      </c>
    </row>
    <row r="63" spans="1:18" ht="44.4" customHeight="1">
      <c r="A63" s="53" t="s">
        <v>54</v>
      </c>
      <c r="B63" s="48">
        <v>41506</v>
      </c>
      <c r="C63" s="28">
        <v>43332</v>
      </c>
      <c r="D63" s="49" t="s">
        <v>4</v>
      </c>
      <c r="E63" s="49">
        <v>40000</v>
      </c>
      <c r="F63" s="49">
        <v>8000</v>
      </c>
      <c r="G63" s="118">
        <v>0</v>
      </c>
      <c r="H63" s="119">
        <v>0</v>
      </c>
      <c r="I63" s="173">
        <v>164.80431999999999</v>
      </c>
      <c r="J63" s="174">
        <v>33.755099999999999</v>
      </c>
      <c r="K63" s="173">
        <f>94366.09243+I63</f>
        <v>94530.89675</v>
      </c>
      <c r="L63" s="173">
        <f>19321.80063+J63</f>
        <v>19355.55573</v>
      </c>
      <c r="M63" s="74" t="s">
        <v>89</v>
      </c>
    </row>
    <row r="64" spans="1:18" ht="49.8" customHeight="1" thickBot="1">
      <c r="A64" s="29" t="s">
        <v>48</v>
      </c>
      <c r="B64" s="30">
        <v>41480</v>
      </c>
      <c r="C64" s="30">
        <v>43889</v>
      </c>
      <c r="D64" s="31" t="s">
        <v>1</v>
      </c>
      <c r="E64" s="31"/>
      <c r="F64" s="31">
        <v>10052.155000000001</v>
      </c>
      <c r="G64" s="31">
        <v>0</v>
      </c>
      <c r="H64" s="63">
        <v>400</v>
      </c>
      <c r="I64" s="148"/>
      <c r="J64" s="130">
        <v>1274.2173600000001</v>
      </c>
      <c r="K64" s="148"/>
      <c r="L64" s="148">
        <f>20889.3313+J64</f>
        <v>22163.54866</v>
      </c>
      <c r="M64" s="78" t="s">
        <v>67</v>
      </c>
    </row>
    <row r="65" spans="1:13" s="7" customFormat="1" ht="30" customHeight="1" thickBot="1">
      <c r="A65" s="280" t="s">
        <v>24</v>
      </c>
      <c r="B65" s="281"/>
      <c r="C65" s="281"/>
      <c r="D65" s="281"/>
      <c r="E65" s="281"/>
      <c r="F65" s="282"/>
      <c r="G65" s="35">
        <f t="shared" ref="G65:L65" si="4">SUM(G66:G77)</f>
        <v>44000</v>
      </c>
      <c r="H65" s="35">
        <f t="shared" si="4"/>
        <v>7000</v>
      </c>
      <c r="I65" s="35">
        <f t="shared" si="4"/>
        <v>18204.814010000002</v>
      </c>
      <c r="J65" s="35">
        <f t="shared" si="4"/>
        <v>0</v>
      </c>
      <c r="K65" s="35">
        <f t="shared" si="4"/>
        <v>309572.13454499998</v>
      </c>
      <c r="L65" s="35">
        <f t="shared" si="4"/>
        <v>20950.680079999998</v>
      </c>
      <c r="M65" s="81"/>
    </row>
    <row r="66" spans="1:13" ht="87.6" customHeight="1">
      <c r="A66" s="82" t="s">
        <v>79</v>
      </c>
      <c r="B66" s="83">
        <v>43105</v>
      </c>
      <c r="C66" s="83" t="s">
        <v>80</v>
      </c>
      <c r="D66" s="73" t="s">
        <v>4</v>
      </c>
      <c r="E66" s="73">
        <v>28000</v>
      </c>
      <c r="F66" s="73">
        <v>7000</v>
      </c>
      <c r="G66" s="121">
        <v>10000</v>
      </c>
      <c r="H66" s="123">
        <v>5000</v>
      </c>
      <c r="I66" s="178">
        <v>17057.61751</v>
      </c>
      <c r="J66" s="178"/>
      <c r="K66" s="178">
        <f>19889.77292+I66</f>
        <v>36947.390429999999</v>
      </c>
      <c r="L66" s="178"/>
      <c r="M66" s="79" t="s">
        <v>100</v>
      </c>
    </row>
    <row r="67" spans="1:13" ht="45.6" customHeight="1">
      <c r="A67" s="55" t="s">
        <v>37</v>
      </c>
      <c r="B67" s="214">
        <v>41572</v>
      </c>
      <c r="C67" s="214">
        <v>43463</v>
      </c>
      <c r="D67" s="217" t="s">
        <v>4</v>
      </c>
      <c r="E67" s="217">
        <f>25200+35000</f>
        <v>60200</v>
      </c>
      <c r="F67" s="49">
        <v>8000</v>
      </c>
      <c r="G67" s="118">
        <v>5000</v>
      </c>
      <c r="H67" s="119"/>
      <c r="I67" s="161">
        <v>70.099459999999993</v>
      </c>
      <c r="J67" s="161"/>
      <c r="K67" s="161">
        <f>93155.934555+I67</f>
        <v>93226.034014999997</v>
      </c>
      <c r="L67" s="161">
        <f>20950.68008+J67</f>
        <v>20950.680079999998</v>
      </c>
      <c r="M67" s="205" t="s">
        <v>90</v>
      </c>
    </row>
    <row r="68" spans="1:13" ht="40.950000000000003" customHeight="1">
      <c r="A68" s="55" t="s">
        <v>55</v>
      </c>
      <c r="B68" s="215"/>
      <c r="C68" s="215"/>
      <c r="D68" s="218"/>
      <c r="E68" s="218"/>
      <c r="F68" s="49"/>
      <c r="G68" s="118"/>
      <c r="H68" s="119"/>
      <c r="I68" s="161">
        <v>1077.0970400000001</v>
      </c>
      <c r="J68" s="161"/>
      <c r="K68" s="161">
        <f>53261.51993+I68</f>
        <v>54338.616970000003</v>
      </c>
      <c r="L68" s="161"/>
      <c r="M68" s="205"/>
    </row>
    <row r="69" spans="1:13" ht="45" customHeight="1">
      <c r="A69" s="53" t="s">
        <v>58</v>
      </c>
      <c r="B69" s="216"/>
      <c r="C69" s="216"/>
      <c r="D69" s="219"/>
      <c r="E69" s="219"/>
      <c r="F69" s="49"/>
      <c r="G69" s="118"/>
      <c r="H69" s="119"/>
      <c r="I69" s="119"/>
      <c r="J69" s="68"/>
      <c r="K69" s="119">
        <f>5120.67471+I69</f>
        <v>5120.6747100000002</v>
      </c>
      <c r="L69" s="119"/>
      <c r="M69" s="74" t="s">
        <v>91</v>
      </c>
    </row>
    <row r="70" spans="1:13" ht="95.4" customHeight="1">
      <c r="A70" s="53" t="s">
        <v>38</v>
      </c>
      <c r="B70" s="200">
        <v>41885</v>
      </c>
      <c r="C70" s="200">
        <v>44378</v>
      </c>
      <c r="D70" s="49" t="s">
        <v>1</v>
      </c>
      <c r="E70" s="198">
        <v>60000</v>
      </c>
      <c r="F70" s="49"/>
      <c r="G70" s="118">
        <v>8500</v>
      </c>
      <c r="H70" s="119"/>
      <c r="I70" s="119"/>
      <c r="J70" s="68"/>
      <c r="K70" s="119">
        <f>118003.72586+I70</f>
        <v>118003.72586000001</v>
      </c>
      <c r="L70" s="119"/>
      <c r="M70" s="74" t="s">
        <v>92</v>
      </c>
    </row>
    <row r="71" spans="1:13" ht="44.4" customHeight="1">
      <c r="A71" s="53" t="s">
        <v>59</v>
      </c>
      <c r="B71" s="200"/>
      <c r="C71" s="200"/>
      <c r="D71" s="49" t="s">
        <v>1</v>
      </c>
      <c r="E71" s="231"/>
      <c r="F71" s="49"/>
      <c r="G71" s="118"/>
      <c r="H71" s="119"/>
      <c r="I71" s="119"/>
      <c r="J71" s="68"/>
      <c r="K71" s="119">
        <f>1935.69256+I71</f>
        <v>1935.69256</v>
      </c>
      <c r="L71" s="119"/>
      <c r="M71" s="74" t="s">
        <v>93</v>
      </c>
    </row>
    <row r="72" spans="1:13" ht="156.75" customHeight="1">
      <c r="A72" s="88" t="s">
        <v>103</v>
      </c>
      <c r="B72" s="87"/>
      <c r="C72" s="87"/>
      <c r="D72" s="105" t="s">
        <v>4</v>
      </c>
      <c r="E72" s="94"/>
      <c r="F72" s="94"/>
      <c r="G72" s="118">
        <v>3500</v>
      </c>
      <c r="H72" s="119"/>
      <c r="I72" s="119"/>
      <c r="J72" s="68"/>
      <c r="K72" s="119">
        <f>I72</f>
        <v>0</v>
      </c>
      <c r="L72" s="119"/>
      <c r="M72" s="89" t="s">
        <v>104</v>
      </c>
    </row>
    <row r="73" spans="1:13" ht="66" customHeight="1">
      <c r="A73" s="88" t="s">
        <v>105</v>
      </c>
      <c r="B73" s="87"/>
      <c r="C73" s="87"/>
      <c r="D73" s="105" t="s">
        <v>1</v>
      </c>
      <c r="E73" s="94"/>
      <c r="F73" s="118"/>
      <c r="G73" s="118">
        <v>3500</v>
      </c>
      <c r="H73" s="119"/>
      <c r="I73" s="119"/>
      <c r="J73" s="68"/>
      <c r="K73" s="119">
        <f t="shared" ref="K73:K77" si="5">I73</f>
        <v>0</v>
      </c>
      <c r="L73" s="119"/>
      <c r="M73" s="89" t="s">
        <v>106</v>
      </c>
    </row>
    <row r="74" spans="1:13" ht="92.4" customHeight="1">
      <c r="A74" s="88" t="s">
        <v>102</v>
      </c>
      <c r="B74" s="214">
        <v>42838</v>
      </c>
      <c r="C74" s="214">
        <v>44742</v>
      </c>
      <c r="D74" s="217" t="s">
        <v>4</v>
      </c>
      <c r="E74" s="217">
        <v>125000</v>
      </c>
      <c r="F74" s="118">
        <v>9900</v>
      </c>
      <c r="G74" s="118">
        <v>4000</v>
      </c>
      <c r="H74" s="119">
        <v>2000</v>
      </c>
      <c r="I74" s="119"/>
      <c r="J74" s="68"/>
      <c r="K74" s="119">
        <f>I74</f>
        <v>0</v>
      </c>
      <c r="L74" s="119">
        <f>J74</f>
        <v>0</v>
      </c>
      <c r="M74" s="89" t="s">
        <v>111</v>
      </c>
    </row>
    <row r="75" spans="1:13" ht="90" customHeight="1">
      <c r="A75" s="88" t="s">
        <v>107</v>
      </c>
      <c r="B75" s="215"/>
      <c r="C75" s="215"/>
      <c r="D75" s="218"/>
      <c r="E75" s="218"/>
      <c r="F75" s="118"/>
      <c r="G75" s="118">
        <v>4000</v>
      </c>
      <c r="H75" s="119"/>
      <c r="I75" s="119"/>
      <c r="J75" s="68"/>
      <c r="K75" s="119">
        <f t="shared" si="5"/>
        <v>0</v>
      </c>
      <c r="L75" s="119"/>
      <c r="M75" s="89" t="s">
        <v>168</v>
      </c>
    </row>
    <row r="76" spans="1:13" ht="38.4" customHeight="1">
      <c r="A76" s="100" t="s">
        <v>114</v>
      </c>
      <c r="B76" s="216"/>
      <c r="C76" s="216"/>
      <c r="D76" s="219"/>
      <c r="E76" s="219"/>
      <c r="F76" s="118"/>
      <c r="G76" s="118">
        <v>2500</v>
      </c>
      <c r="H76" s="119"/>
      <c r="I76" s="119"/>
      <c r="J76" s="68"/>
      <c r="K76" s="119">
        <f>I76</f>
        <v>0</v>
      </c>
      <c r="L76" s="119"/>
      <c r="M76" s="101" t="s">
        <v>115</v>
      </c>
    </row>
    <row r="77" spans="1:13" ht="43.8" customHeight="1" thickBot="1">
      <c r="A77" s="100" t="s">
        <v>113</v>
      </c>
      <c r="B77" s="96"/>
      <c r="C77" s="28"/>
      <c r="D77" s="105" t="s">
        <v>4</v>
      </c>
      <c r="E77" s="94"/>
      <c r="F77" s="118"/>
      <c r="G77" s="118">
        <v>3000</v>
      </c>
      <c r="H77" s="119"/>
      <c r="I77" s="119"/>
      <c r="J77" s="68"/>
      <c r="K77" s="119">
        <f t="shared" si="5"/>
        <v>0</v>
      </c>
      <c r="L77" s="119"/>
      <c r="M77" s="101" t="s">
        <v>115</v>
      </c>
    </row>
    <row r="78" spans="1:13" ht="36.6" customHeight="1" thickBot="1">
      <c r="A78" s="209" t="s">
        <v>25</v>
      </c>
      <c r="B78" s="210"/>
      <c r="C78" s="210"/>
      <c r="D78" s="210"/>
      <c r="E78" s="210"/>
      <c r="F78" s="211"/>
      <c r="G78" s="33">
        <f>G79+G83+G84+G82</f>
        <v>41000</v>
      </c>
      <c r="H78" s="33">
        <f t="shared" ref="H78:L78" si="6">H79+H83+H84+H82</f>
        <v>4000</v>
      </c>
      <c r="I78" s="33">
        <f t="shared" si="6"/>
        <v>4194.3565599999993</v>
      </c>
      <c r="J78" s="33">
        <f t="shared" si="6"/>
        <v>2864.0671400000001</v>
      </c>
      <c r="K78" s="33">
        <f t="shared" si="6"/>
        <v>87926.033246000006</v>
      </c>
      <c r="L78" s="33">
        <f t="shared" si="6"/>
        <v>13327.966629999999</v>
      </c>
      <c r="M78" s="80"/>
    </row>
    <row r="79" spans="1:13" s="7" customFormat="1" ht="58.5" customHeight="1">
      <c r="A79" s="226" t="s">
        <v>18</v>
      </c>
      <c r="B79" s="36">
        <v>42052</v>
      </c>
      <c r="C79" s="37">
        <v>44121</v>
      </c>
      <c r="D79" s="51" t="s">
        <v>0</v>
      </c>
      <c r="E79" s="51">
        <v>8610</v>
      </c>
      <c r="F79" s="51"/>
      <c r="G79" s="227">
        <v>3400</v>
      </c>
      <c r="H79" s="228">
        <v>4000</v>
      </c>
      <c r="I79" s="229">
        <v>2838.5504000000001</v>
      </c>
      <c r="J79" s="229">
        <v>2864.0671400000001</v>
      </c>
      <c r="K79" s="229">
        <f>25190.21929+I79</f>
        <v>28028.769690000001</v>
      </c>
      <c r="L79" s="229">
        <f>10463.89949+J79</f>
        <v>13327.966629999999</v>
      </c>
      <c r="M79" s="223" t="s">
        <v>180</v>
      </c>
    </row>
    <row r="80" spans="1:13" ht="53.25" customHeight="1">
      <c r="A80" s="207"/>
      <c r="B80" s="28">
        <v>41978</v>
      </c>
      <c r="C80" s="38">
        <v>42735</v>
      </c>
      <c r="D80" s="49" t="s">
        <v>1</v>
      </c>
      <c r="E80" s="49"/>
      <c r="F80" s="49">
        <v>500</v>
      </c>
      <c r="G80" s="198"/>
      <c r="H80" s="208"/>
      <c r="I80" s="212"/>
      <c r="J80" s="212"/>
      <c r="K80" s="212"/>
      <c r="L80" s="212"/>
      <c r="M80" s="224"/>
    </row>
    <row r="81" spans="1:13" ht="42.75" customHeight="1">
      <c r="A81" s="207"/>
      <c r="B81" s="28">
        <v>42052</v>
      </c>
      <c r="C81" s="39">
        <v>43513</v>
      </c>
      <c r="D81" s="49" t="s">
        <v>1</v>
      </c>
      <c r="E81" s="49"/>
      <c r="F81" s="49">
        <v>5300</v>
      </c>
      <c r="G81" s="198"/>
      <c r="H81" s="208"/>
      <c r="I81" s="230"/>
      <c r="J81" s="230"/>
      <c r="K81" s="230"/>
      <c r="L81" s="230"/>
      <c r="M81" s="225"/>
    </row>
    <row r="82" spans="1:13" ht="194.4" customHeight="1">
      <c r="A82" s="116" t="s">
        <v>143</v>
      </c>
      <c r="B82" s="120">
        <v>43486</v>
      </c>
      <c r="C82" s="131">
        <v>46022</v>
      </c>
      <c r="D82" s="119" t="s">
        <v>4</v>
      </c>
      <c r="E82" s="119">
        <v>16000</v>
      </c>
      <c r="F82" s="118"/>
      <c r="G82" s="118">
        <v>3600</v>
      </c>
      <c r="H82" s="119"/>
      <c r="I82" s="181">
        <v>119.76358999999999</v>
      </c>
      <c r="J82" s="181"/>
      <c r="K82" s="181">
        <f>I82</f>
        <v>119.76358999999999</v>
      </c>
      <c r="L82" s="181"/>
      <c r="M82" s="122" t="s">
        <v>179</v>
      </c>
    </row>
    <row r="83" spans="1:13" ht="70.2" customHeight="1">
      <c r="A83" s="207" t="s">
        <v>17</v>
      </c>
      <c r="B83" s="191">
        <v>41964</v>
      </c>
      <c r="C83" s="201">
        <v>44408</v>
      </c>
      <c r="D83" s="192" t="s">
        <v>0</v>
      </c>
      <c r="E83" s="193">
        <v>32400</v>
      </c>
      <c r="F83" s="198"/>
      <c r="G83" s="118">
        <v>20000</v>
      </c>
      <c r="H83" s="118"/>
      <c r="I83" s="173">
        <v>853.05286000000001</v>
      </c>
      <c r="J83" s="174"/>
      <c r="K83" s="173">
        <f>52753.634536+I83</f>
        <v>53606.687396000001</v>
      </c>
      <c r="L83" s="173"/>
      <c r="M83" s="111" t="s">
        <v>94</v>
      </c>
    </row>
    <row r="84" spans="1:13" ht="60" customHeight="1">
      <c r="A84" s="207"/>
      <c r="B84" s="194">
        <v>43920</v>
      </c>
      <c r="C84" s="257"/>
      <c r="D84" s="189" t="s">
        <v>4</v>
      </c>
      <c r="E84" s="187">
        <v>18200</v>
      </c>
      <c r="F84" s="198"/>
      <c r="G84" s="118">
        <v>14000</v>
      </c>
      <c r="H84" s="118"/>
      <c r="I84" s="173">
        <v>382.98971</v>
      </c>
      <c r="J84" s="174"/>
      <c r="K84" s="173">
        <f>5787.82286+I84</f>
        <v>6170.8125700000001</v>
      </c>
      <c r="L84" s="173"/>
      <c r="M84" s="110" t="s">
        <v>95</v>
      </c>
    </row>
    <row r="85" spans="1:13" ht="50.4" customHeight="1" thickBot="1">
      <c r="A85" s="272" t="s">
        <v>26</v>
      </c>
      <c r="B85" s="273"/>
      <c r="C85" s="273"/>
      <c r="D85" s="273"/>
      <c r="E85" s="273"/>
      <c r="F85" s="274"/>
      <c r="G85" s="35">
        <f t="shared" ref="G85:L85" si="7">SUM(G86:G87)</f>
        <v>0</v>
      </c>
      <c r="H85" s="35">
        <f t="shared" si="7"/>
        <v>4600</v>
      </c>
      <c r="I85" s="35">
        <f t="shared" si="7"/>
        <v>0</v>
      </c>
      <c r="J85" s="35">
        <f t="shared" si="7"/>
        <v>875.53659000000005</v>
      </c>
      <c r="K85" s="35">
        <f t="shared" si="7"/>
        <v>0</v>
      </c>
      <c r="L85" s="35">
        <f t="shared" si="7"/>
        <v>27147.970990000002</v>
      </c>
      <c r="M85" s="81"/>
    </row>
    <row r="86" spans="1:13" s="7" customFormat="1" ht="163.80000000000001" customHeight="1">
      <c r="A86" s="52" t="s">
        <v>22</v>
      </c>
      <c r="B86" s="36">
        <v>40119</v>
      </c>
      <c r="C86" s="54">
        <v>44196</v>
      </c>
      <c r="D86" s="51" t="s">
        <v>4</v>
      </c>
      <c r="E86" s="51"/>
      <c r="F86" s="59">
        <v>2267</v>
      </c>
      <c r="G86" s="121">
        <v>0</v>
      </c>
      <c r="H86" s="121">
        <v>2500</v>
      </c>
      <c r="I86" s="123"/>
      <c r="J86" s="165">
        <v>240.02520999999999</v>
      </c>
      <c r="K86" s="164"/>
      <c r="L86" s="164">
        <f>7453.02009+J86</f>
        <v>7693.0452999999998</v>
      </c>
      <c r="M86" s="79" t="s">
        <v>96</v>
      </c>
    </row>
    <row r="87" spans="1:13" ht="183.6" customHeight="1" thickBot="1">
      <c r="A87" s="29" t="s">
        <v>16</v>
      </c>
      <c r="B87" s="40">
        <v>40589</v>
      </c>
      <c r="C87" s="40">
        <v>44135</v>
      </c>
      <c r="D87" s="34" t="s">
        <v>4</v>
      </c>
      <c r="E87" s="31"/>
      <c r="F87" s="31">
        <v>8250</v>
      </c>
      <c r="G87" s="31">
        <v>0</v>
      </c>
      <c r="H87" s="31">
        <v>2100</v>
      </c>
      <c r="I87" s="63"/>
      <c r="J87" s="148">
        <v>635.51138000000003</v>
      </c>
      <c r="K87" s="148"/>
      <c r="L87" s="148">
        <f>18819.41431+J87</f>
        <v>19454.92569</v>
      </c>
      <c r="M87" s="78" t="s">
        <v>152</v>
      </c>
    </row>
    <row r="88" spans="1:13" ht="31.5" customHeight="1" thickBot="1">
      <c r="A88" s="209" t="s">
        <v>5</v>
      </c>
      <c r="B88" s="210"/>
      <c r="C88" s="210"/>
      <c r="D88" s="210"/>
      <c r="E88" s="210"/>
      <c r="F88" s="211"/>
      <c r="G88" s="33">
        <f>SUM(G89:G97)</f>
        <v>171900</v>
      </c>
      <c r="H88" s="33">
        <f t="shared" ref="H88:L88" si="8">SUM(H89:H97)</f>
        <v>5050</v>
      </c>
      <c r="I88" s="33">
        <f t="shared" si="8"/>
        <v>7171.0963499999998</v>
      </c>
      <c r="J88" s="33">
        <f t="shared" si="8"/>
        <v>15257.5</v>
      </c>
      <c r="K88" s="33">
        <f t="shared" si="8"/>
        <v>244256.03151</v>
      </c>
      <c r="L88" s="168">
        <f t="shared" si="8"/>
        <v>15257.5</v>
      </c>
      <c r="M88" s="80"/>
    </row>
    <row r="89" spans="1:13" s="7" customFormat="1" ht="49.8" customHeight="1">
      <c r="A89" s="82" t="s">
        <v>144</v>
      </c>
      <c r="B89" s="143">
        <v>43634</v>
      </c>
      <c r="C89" s="143">
        <v>46112</v>
      </c>
      <c r="D89" s="141" t="s">
        <v>4</v>
      </c>
      <c r="E89" s="139">
        <v>90000</v>
      </c>
      <c r="F89" s="140"/>
      <c r="G89" s="140">
        <v>5000</v>
      </c>
      <c r="H89" s="139"/>
      <c r="I89" s="155">
        <v>129.82392999999999</v>
      </c>
      <c r="J89" s="156"/>
      <c r="K89" s="155">
        <f>I89</f>
        <v>129.82392999999999</v>
      </c>
      <c r="L89" s="157"/>
      <c r="M89" s="124" t="s">
        <v>153</v>
      </c>
    </row>
    <row r="90" spans="1:13" s="7" customFormat="1" ht="165.6" customHeight="1">
      <c r="A90" s="185" t="s">
        <v>170</v>
      </c>
      <c r="B90" s="144">
        <v>43493</v>
      </c>
      <c r="C90" s="144">
        <v>44926</v>
      </c>
      <c r="D90" s="190" t="s">
        <v>4</v>
      </c>
      <c r="E90" s="188">
        <v>10000</v>
      </c>
      <c r="F90" s="188"/>
      <c r="G90" s="188">
        <v>0</v>
      </c>
      <c r="H90" s="188">
        <v>0</v>
      </c>
      <c r="I90" s="186"/>
      <c r="J90" s="190">
        <v>15257.5</v>
      </c>
      <c r="K90" s="186"/>
      <c r="L90" s="186">
        <f>J90</f>
        <v>15257.5</v>
      </c>
      <c r="M90" s="184" t="s">
        <v>172</v>
      </c>
    </row>
    <row r="91" spans="1:13" ht="53.4" customHeight="1">
      <c r="A91" s="136" t="s">
        <v>145</v>
      </c>
      <c r="B91" s="144">
        <v>43630</v>
      </c>
      <c r="C91" s="144">
        <v>45000</v>
      </c>
      <c r="D91" s="138" t="s">
        <v>4</v>
      </c>
      <c r="E91" s="137">
        <v>20000</v>
      </c>
      <c r="F91" s="137"/>
      <c r="G91" s="137">
        <v>1300</v>
      </c>
      <c r="H91" s="137">
        <v>1900</v>
      </c>
      <c r="I91" s="157"/>
      <c r="J91" s="179"/>
      <c r="K91" s="173">
        <f t="shared" ref="K91" si="9">I91</f>
        <v>0</v>
      </c>
      <c r="L91" s="135">
        <f>J91</f>
        <v>0</v>
      </c>
      <c r="M91" s="145" t="s">
        <v>154</v>
      </c>
    </row>
    <row r="92" spans="1:13" ht="54.6" customHeight="1">
      <c r="A92" s="90" t="s">
        <v>49</v>
      </c>
      <c r="B92" s="48">
        <v>42661</v>
      </c>
      <c r="C92" s="48">
        <v>44377</v>
      </c>
      <c r="D92" s="49" t="s">
        <v>4</v>
      </c>
      <c r="E92" s="49">
        <v>14000</v>
      </c>
      <c r="F92" s="49"/>
      <c r="G92" s="132">
        <v>6100</v>
      </c>
      <c r="H92" s="133">
        <v>1500</v>
      </c>
      <c r="I92" s="158">
        <v>237.09188</v>
      </c>
      <c r="J92" s="147"/>
      <c r="K92" s="147">
        <f>I92</f>
        <v>237.09188</v>
      </c>
      <c r="L92" s="27">
        <v>0</v>
      </c>
      <c r="M92" s="74" t="s">
        <v>126</v>
      </c>
    </row>
    <row r="93" spans="1:13" ht="42.6" customHeight="1">
      <c r="A93" s="56" t="s">
        <v>40</v>
      </c>
      <c r="B93" s="45">
        <v>42346</v>
      </c>
      <c r="C93" s="45">
        <v>43228</v>
      </c>
      <c r="D93" s="46" t="s">
        <v>4</v>
      </c>
      <c r="E93" s="46">
        <v>82821</v>
      </c>
      <c r="F93" s="49"/>
      <c r="G93" s="132">
        <v>35000</v>
      </c>
      <c r="H93" s="133"/>
      <c r="I93" s="147"/>
      <c r="J93" s="147"/>
      <c r="K93" s="147">
        <f>226048.34892+I93</f>
        <v>226048.34891999999</v>
      </c>
      <c r="L93" s="147"/>
      <c r="M93" s="74" t="s">
        <v>64</v>
      </c>
    </row>
    <row r="94" spans="1:13" ht="54" customHeight="1">
      <c r="A94" s="57" t="s">
        <v>62</v>
      </c>
      <c r="B94" s="45">
        <v>42929</v>
      </c>
      <c r="C94" s="45">
        <v>44025</v>
      </c>
      <c r="D94" s="46" t="s">
        <v>4</v>
      </c>
      <c r="E94" s="46">
        <v>5500</v>
      </c>
      <c r="F94" s="49">
        <v>1500</v>
      </c>
      <c r="G94" s="132">
        <v>2500</v>
      </c>
      <c r="H94" s="133">
        <v>1650</v>
      </c>
      <c r="I94" s="147"/>
      <c r="J94" s="147"/>
      <c r="K94" s="147">
        <f>8749.28036+I94</f>
        <v>8749.2803600000007</v>
      </c>
      <c r="L94" s="27">
        <v>0</v>
      </c>
      <c r="M94" s="74" t="s">
        <v>121</v>
      </c>
    </row>
    <row r="95" spans="1:13" ht="40.799999999999997" customHeight="1">
      <c r="A95" s="57" t="s">
        <v>112</v>
      </c>
      <c r="B95" s="91" t="s">
        <v>166</v>
      </c>
      <c r="C95" s="91" t="s">
        <v>167</v>
      </c>
      <c r="D95" s="92"/>
      <c r="E95" s="92"/>
      <c r="F95" s="95"/>
      <c r="G95" s="132">
        <v>100000</v>
      </c>
      <c r="H95" s="134"/>
      <c r="I95" s="158">
        <v>2337.4</v>
      </c>
      <c r="J95" s="158"/>
      <c r="K95" s="106"/>
      <c r="L95" s="106"/>
      <c r="M95" s="93" t="s">
        <v>115</v>
      </c>
    </row>
    <row r="96" spans="1:13" ht="84.75" customHeight="1">
      <c r="A96" s="57" t="s">
        <v>33</v>
      </c>
      <c r="B96" s="201">
        <v>42457</v>
      </c>
      <c r="C96" s="201">
        <v>44316</v>
      </c>
      <c r="D96" s="203" t="s">
        <v>1</v>
      </c>
      <c r="E96" s="203">
        <v>23500</v>
      </c>
      <c r="F96" s="163"/>
      <c r="G96" s="160">
        <v>20000</v>
      </c>
      <c r="H96" s="166"/>
      <c r="I96" s="158">
        <v>4460.5305399999997</v>
      </c>
      <c r="J96" s="158"/>
      <c r="K96" s="106">
        <f>4624.70588+I96</f>
        <v>9085.2364200000011</v>
      </c>
      <c r="L96" s="106"/>
      <c r="M96" s="167" t="s">
        <v>129</v>
      </c>
    </row>
    <row r="97" spans="1:13" ht="54.6" customHeight="1" thickBot="1">
      <c r="A97" s="29" t="s">
        <v>156</v>
      </c>
      <c r="B97" s="202"/>
      <c r="C97" s="202"/>
      <c r="D97" s="204"/>
      <c r="E97" s="204"/>
      <c r="F97" s="31"/>
      <c r="G97" s="31">
        <v>2000</v>
      </c>
      <c r="H97" s="63"/>
      <c r="I97" s="148">
        <f>6250/1000</f>
        <v>6.25</v>
      </c>
      <c r="J97" s="159"/>
      <c r="K97" s="159">
        <f>I97</f>
        <v>6.25</v>
      </c>
      <c r="L97" s="159"/>
      <c r="M97" s="78" t="s">
        <v>155</v>
      </c>
    </row>
    <row r="98" spans="1:13" s="9" customFormat="1" ht="36" customHeight="1" thickBot="1">
      <c r="A98" s="41"/>
      <c r="B98" s="42"/>
      <c r="C98" s="42"/>
      <c r="D98" s="43"/>
      <c r="E98" s="44"/>
      <c r="F98" s="168" t="s">
        <v>171</v>
      </c>
      <c r="G98" s="35">
        <f>G88+G85+G78+G56+G37+G7+G65</f>
        <v>1182300</v>
      </c>
      <c r="H98" s="35">
        <f t="shared" ref="H98:L98" si="10">H88+H85+H78+H56+H37+H7+H65</f>
        <v>46900</v>
      </c>
      <c r="I98" s="35">
        <f t="shared" si="10"/>
        <v>396957.76661999989</v>
      </c>
      <c r="J98" s="35">
        <f t="shared" si="10"/>
        <v>23802.080180000001</v>
      </c>
      <c r="K98" s="35">
        <f t="shared" si="10"/>
        <v>5304088.280375002</v>
      </c>
      <c r="L98" s="35">
        <f t="shared" si="10"/>
        <v>249542.77301999999</v>
      </c>
      <c r="M98" s="75"/>
    </row>
    <row r="99" spans="1:13" s="6" customFormat="1" ht="15.75" customHeight="1">
      <c r="A99" s="10"/>
      <c r="B99" s="8"/>
      <c r="C99" s="8"/>
      <c r="D99" s="10"/>
      <c r="E99" s="10"/>
      <c r="F99" s="10"/>
      <c r="G99" s="10"/>
      <c r="H99" s="10"/>
      <c r="I99" s="10"/>
      <c r="J99" s="10"/>
      <c r="K99" s="10"/>
      <c r="L99" s="10"/>
      <c r="M99" s="13"/>
    </row>
    <row r="100" spans="1:13" ht="26.25" customHeight="1">
      <c r="A100" s="271" t="s">
        <v>30</v>
      </c>
      <c r="B100" s="271"/>
      <c r="C100" s="271"/>
      <c r="D100" s="271"/>
      <c r="E100" s="271"/>
      <c r="F100" s="271"/>
      <c r="G100" s="271"/>
      <c r="H100" s="271"/>
      <c r="I100" s="271"/>
      <c r="J100" s="271"/>
      <c r="K100" s="271"/>
      <c r="L100" s="271"/>
    </row>
    <row r="101" spans="1:13" ht="24.75" customHeight="1">
      <c r="A101" s="1" t="s">
        <v>34</v>
      </c>
      <c r="B101" s="2"/>
      <c r="D101" s="1"/>
      <c r="E101" s="1"/>
      <c r="F101" s="1"/>
      <c r="H101" s="1"/>
      <c r="I101" s="1"/>
      <c r="J101" s="1"/>
      <c r="K101" s="1"/>
      <c r="L101" s="1"/>
    </row>
    <row r="102" spans="1:13" ht="24" customHeight="1">
      <c r="A102" s="1"/>
      <c r="B102" s="2"/>
      <c r="D102" s="1"/>
      <c r="E102" s="1"/>
      <c r="F102" s="1"/>
      <c r="H102" s="1"/>
      <c r="I102" s="1"/>
      <c r="J102" s="11"/>
      <c r="K102" s="1"/>
      <c r="L102" s="11"/>
    </row>
    <row r="103" spans="1:13">
      <c r="G103" s="11">
        <f>G98-'[1]WEB-2020'!$G$97</f>
        <v>0</v>
      </c>
      <c r="H103" s="12">
        <f>H98-'[2]WEB-2020'!$H$97</f>
        <v>0</v>
      </c>
      <c r="I103" s="12">
        <f>I98-'[3]WEB-2020'!$I$98</f>
        <v>0</v>
      </c>
      <c r="J103" s="12">
        <f>J98-'[3]WEB-2020'!$J$98</f>
        <v>0</v>
      </c>
      <c r="K103" s="12">
        <f>K98-'[3]WEB-2020'!$K$98</f>
        <v>0</v>
      </c>
      <c r="L103" s="12">
        <f>L98-'[3]WEB-2020'!$L$98</f>
        <v>0</v>
      </c>
    </row>
    <row r="104" spans="1:13" ht="39" customHeight="1">
      <c r="G104" s="11"/>
      <c r="H104" s="12"/>
      <c r="I104" s="12"/>
      <c r="J104" s="12"/>
      <c r="K104" s="12"/>
      <c r="L104" s="12"/>
    </row>
    <row r="105" spans="1:13" ht="21.75" customHeight="1"/>
  </sheetData>
  <mergeCells count="155">
    <mergeCell ref="A100:L100"/>
    <mergeCell ref="A88:F88"/>
    <mergeCell ref="A85:F85"/>
    <mergeCell ref="M25:M26"/>
    <mergeCell ref="C25:C26"/>
    <mergeCell ref="A25:A26"/>
    <mergeCell ref="D25:D26"/>
    <mergeCell ref="G25:G26"/>
    <mergeCell ref="H25:H26"/>
    <mergeCell ref="I25:I26"/>
    <mergeCell ref="J25:J26"/>
    <mergeCell ref="K25:K26"/>
    <mergeCell ref="L25:L26"/>
    <mergeCell ref="A83:A84"/>
    <mergeCell ref="C83:C84"/>
    <mergeCell ref="F83:F84"/>
    <mergeCell ref="F41:F42"/>
    <mergeCell ref="J41:J42"/>
    <mergeCell ref="K41:K42"/>
    <mergeCell ref="A56:F56"/>
    <mergeCell ref="A65:F65"/>
    <mergeCell ref="H30:H31"/>
    <mergeCell ref="I30:I31"/>
    <mergeCell ref="L79:L81"/>
    <mergeCell ref="M18:M19"/>
    <mergeCell ref="L8:L9"/>
    <mergeCell ref="L12:L13"/>
    <mergeCell ref="L10:L11"/>
    <mergeCell ref="H8:H9"/>
    <mergeCell ref="J12:J13"/>
    <mergeCell ref="I8:I9"/>
    <mergeCell ref="M14:M15"/>
    <mergeCell ref="L14:L15"/>
    <mergeCell ref="K14:K15"/>
    <mergeCell ref="H14:H15"/>
    <mergeCell ref="J14:J15"/>
    <mergeCell ref="H18:H19"/>
    <mergeCell ref="I18:I19"/>
    <mergeCell ref="J18:J19"/>
    <mergeCell ref="K18:K19"/>
    <mergeCell ref="L18:L19"/>
    <mergeCell ref="K8:K9"/>
    <mergeCell ref="K12:K13"/>
    <mergeCell ref="C8:C9"/>
    <mergeCell ref="C12:C13"/>
    <mergeCell ref="J10:J11"/>
    <mergeCell ref="I10:I11"/>
    <mergeCell ref="F8:F9"/>
    <mergeCell ref="J8:J9"/>
    <mergeCell ref="H12:H13"/>
    <mergeCell ref="H10:H11"/>
    <mergeCell ref="B20:B21"/>
    <mergeCell ref="C20:C21"/>
    <mergeCell ref="D20:D21"/>
    <mergeCell ref="E19:E21"/>
    <mergeCell ref="F14:F15"/>
    <mergeCell ref="I14:I15"/>
    <mergeCell ref="G18:G19"/>
    <mergeCell ref="A8:A9"/>
    <mergeCell ref="A30:A31"/>
    <mergeCell ref="G4:H4"/>
    <mergeCell ref="G5:H5"/>
    <mergeCell ref="C4:C5"/>
    <mergeCell ref="D4:F4"/>
    <mergeCell ref="A12:A13"/>
    <mergeCell ref="A4:A5"/>
    <mergeCell ref="B4:B5"/>
    <mergeCell ref="D5:F5"/>
    <mergeCell ref="A7:F7"/>
    <mergeCell ref="G10:G11"/>
    <mergeCell ref="G8:G9"/>
    <mergeCell ref="B10:B11"/>
    <mergeCell ref="C10:C11"/>
    <mergeCell ref="G12:G13"/>
    <mergeCell ref="C30:C31"/>
    <mergeCell ref="F12:F13"/>
    <mergeCell ref="B8:B9"/>
    <mergeCell ref="G14:G15"/>
    <mergeCell ref="B14:B15"/>
    <mergeCell ref="C14:C15"/>
    <mergeCell ref="A18:A19"/>
    <mergeCell ref="B12:B13"/>
    <mergeCell ref="M4:M5"/>
    <mergeCell ref="M8:M9"/>
    <mergeCell ref="M12:M13"/>
    <mergeCell ref="M30:M31"/>
    <mergeCell ref="M41:M42"/>
    <mergeCell ref="M10:M11"/>
    <mergeCell ref="M58:M59"/>
    <mergeCell ref="J58:J59"/>
    <mergeCell ref="G58:G59"/>
    <mergeCell ref="I58:I59"/>
    <mergeCell ref="K58:K59"/>
    <mergeCell ref="L58:L59"/>
    <mergeCell ref="I5:J5"/>
    <mergeCell ref="K5:L5"/>
    <mergeCell ref="K4:L4"/>
    <mergeCell ref="I4:J4"/>
    <mergeCell ref="L41:L42"/>
    <mergeCell ref="M43:M44"/>
    <mergeCell ref="J43:J44"/>
    <mergeCell ref="K43:K44"/>
    <mergeCell ref="L43:L44"/>
    <mergeCell ref="I41:I42"/>
    <mergeCell ref="G41:G42"/>
    <mergeCell ref="K10:K11"/>
    <mergeCell ref="M79:M81"/>
    <mergeCell ref="A79:A81"/>
    <mergeCell ref="G79:G81"/>
    <mergeCell ref="H79:H81"/>
    <mergeCell ref="I79:I81"/>
    <mergeCell ref="J79:J81"/>
    <mergeCell ref="B70:B71"/>
    <mergeCell ref="C70:C71"/>
    <mergeCell ref="E70:E71"/>
    <mergeCell ref="B74:B76"/>
    <mergeCell ref="C74:C76"/>
    <mergeCell ref="D74:D76"/>
    <mergeCell ref="E74:E76"/>
    <mergeCell ref="K79:K81"/>
    <mergeCell ref="A78:F78"/>
    <mergeCell ref="M67:M68"/>
    <mergeCell ref="A10:A11"/>
    <mergeCell ref="A58:A59"/>
    <mergeCell ref="B58:B59"/>
    <mergeCell ref="C58:C59"/>
    <mergeCell ref="F58:F59"/>
    <mergeCell ref="H58:H59"/>
    <mergeCell ref="C41:C42"/>
    <mergeCell ref="A37:F37"/>
    <mergeCell ref="L30:L31"/>
    <mergeCell ref="I12:I13"/>
    <mergeCell ref="K30:K31"/>
    <mergeCell ref="J30:J31"/>
    <mergeCell ref="B67:B69"/>
    <mergeCell ref="C67:C69"/>
    <mergeCell ref="D67:D69"/>
    <mergeCell ref="E67:E69"/>
    <mergeCell ref="B43:B44"/>
    <mergeCell ref="C43:C44"/>
    <mergeCell ref="G43:G44"/>
    <mergeCell ref="H43:H44"/>
    <mergeCell ref="I43:I44"/>
    <mergeCell ref="H41:H42"/>
    <mergeCell ref="G30:G31"/>
    <mergeCell ref="A14:A15"/>
    <mergeCell ref="B30:B31"/>
    <mergeCell ref="F30:F31"/>
    <mergeCell ref="A41:A42"/>
    <mergeCell ref="B41:B42"/>
    <mergeCell ref="A43:A44"/>
    <mergeCell ref="B96:B97"/>
    <mergeCell ref="C96:C97"/>
    <mergeCell ref="D96:D97"/>
    <mergeCell ref="E96:E97"/>
  </mergeCells>
  <printOptions horizontalCentered="1"/>
  <pageMargins left="0.7" right="0.7" top="0.75" bottom="0.75" header="0.3" footer="0.3"/>
  <pageSetup paperSize="9" scale="28" fitToHeight="0" orientation="landscape" r:id="rId1"/>
  <headerFooter alignWithMargins="0"/>
  <rowBreaks count="3" manualBreakCount="3">
    <brk id="23" max="12" man="1"/>
    <brk id="77" max="12" man="1"/>
    <brk id="9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BrandService</cp:lastModifiedBy>
  <cp:lastPrinted>2020-06-30T14:49:33Z</cp:lastPrinted>
  <dcterms:created xsi:type="dcterms:W3CDTF">2011-04-14T08:42:21Z</dcterms:created>
  <dcterms:modified xsi:type="dcterms:W3CDTF">2020-06-30T14:49:42Z</dcterms:modified>
</cp:coreProperties>
</file>