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nnru\Desktop\WEB\2021\"/>
    </mc:Choice>
  </mc:AlternateContent>
  <bookViews>
    <workbookView xWindow="0" yWindow="0" windowWidth="19200" windowHeight="7050" tabRatio="200"/>
  </bookViews>
  <sheets>
    <sheet name="WEB-2020" sheetId="12" r:id="rId1"/>
  </sheets>
  <definedNames>
    <definedName name="_xlnm.Print_Area" localSheetId="0">'WEB-2020'!$A$1:$N$103</definedName>
    <definedName name="_xlnm.Print_Titles" localSheetId="0">'WEB-2020'!$A:$N,'WEB-2020'!$4:$6</definedName>
  </definedNames>
  <calcPr calcId="162913"/>
</workbook>
</file>

<file path=xl/calcChain.xml><?xml version="1.0" encoding="utf-8"?>
<calcChain xmlns="http://schemas.openxmlformats.org/spreadsheetml/2006/main">
  <c r="J51" i="12" l="1"/>
  <c r="I51" i="12"/>
  <c r="H51" i="12"/>
  <c r="G51" i="12"/>
  <c r="H35" i="12"/>
  <c r="I35" i="12"/>
  <c r="J35" i="12"/>
  <c r="G35" i="12"/>
  <c r="K46" i="12"/>
  <c r="J17" i="12" l="1"/>
  <c r="I97" i="12"/>
  <c r="K97" i="12" l="1"/>
  <c r="I86" i="12"/>
  <c r="K99" i="12"/>
  <c r="K98" i="12"/>
  <c r="K96" i="12"/>
  <c r="K95" i="12"/>
  <c r="L94" i="12"/>
  <c r="K94" i="12"/>
  <c r="K93" i="12"/>
  <c r="K92" i="12"/>
  <c r="L91" i="12"/>
  <c r="K91" i="12"/>
  <c r="K89" i="12"/>
  <c r="K88" i="12"/>
  <c r="K87" i="12"/>
  <c r="L85" i="12"/>
  <c r="L84" i="12"/>
  <c r="K82" i="12"/>
  <c r="K81" i="12"/>
  <c r="K80" i="12"/>
  <c r="K77" i="12"/>
  <c r="K73" i="12"/>
  <c r="K74" i="12"/>
  <c r="K75" i="12"/>
  <c r="K72" i="12"/>
  <c r="K71" i="12"/>
  <c r="K70" i="12"/>
  <c r="K69" i="12"/>
  <c r="K68" i="12"/>
  <c r="K67" i="12"/>
  <c r="K66" i="12"/>
  <c r="K65" i="12"/>
  <c r="K64" i="12"/>
  <c r="K62" i="12"/>
  <c r="L62" i="12"/>
  <c r="L61" i="12"/>
  <c r="L60" i="12"/>
  <c r="K60" i="12"/>
  <c r="K59" i="12"/>
  <c r="L59" i="12"/>
  <c r="L58" i="12"/>
  <c r="K58" i="12"/>
  <c r="K57" i="12"/>
  <c r="K56" i="12"/>
  <c r="K55" i="12"/>
  <c r="K52" i="12"/>
  <c r="K51" i="12" l="1"/>
  <c r="L51" i="12"/>
  <c r="L49" i="12"/>
  <c r="K50" i="12"/>
  <c r="K49" i="12"/>
  <c r="K48" i="12"/>
  <c r="K47" i="12"/>
  <c r="K45" i="12"/>
  <c r="L43" i="12"/>
  <c r="K44" i="12"/>
  <c r="K43" i="12"/>
  <c r="K42" i="12"/>
  <c r="K41" i="12"/>
  <c r="K39" i="12"/>
  <c r="K38" i="12"/>
  <c r="K37" i="12"/>
  <c r="L38" i="12"/>
  <c r="L37" i="12"/>
  <c r="L36" i="12"/>
  <c r="K36" i="12"/>
  <c r="K34" i="12"/>
  <c r="K33" i="12"/>
  <c r="K32" i="12"/>
  <c r="K31" i="12"/>
  <c r="K30" i="12"/>
  <c r="K29" i="12"/>
  <c r="K28" i="12"/>
  <c r="K27" i="12"/>
  <c r="K25" i="12"/>
  <c r="K24" i="12"/>
  <c r="K23" i="12"/>
  <c r="K22" i="12"/>
  <c r="K21" i="12"/>
  <c r="K20" i="12"/>
  <c r="K18" i="12"/>
  <c r="L17" i="12"/>
  <c r="K17" i="12"/>
  <c r="K16" i="12"/>
  <c r="K14" i="12"/>
  <c r="K12" i="12"/>
  <c r="K10" i="12"/>
  <c r="K8" i="12"/>
  <c r="K35" i="12" l="1"/>
  <c r="L35" i="12"/>
  <c r="G86" i="12"/>
  <c r="G76" i="12"/>
  <c r="G63" i="12"/>
  <c r="G7" i="12"/>
  <c r="J86" i="12" l="1"/>
  <c r="J7" i="12" l="1"/>
  <c r="I7" i="12"/>
  <c r="H7" i="12"/>
  <c r="F62" i="12" l="1"/>
  <c r="H86" i="12" l="1"/>
  <c r="J63" i="12" l="1"/>
  <c r="I63" i="12"/>
  <c r="H63" i="12"/>
  <c r="L86" i="12" l="1"/>
  <c r="K86" i="12" l="1"/>
  <c r="L63" i="12"/>
  <c r="K63" i="12"/>
  <c r="L7" i="12"/>
  <c r="H76" i="12"/>
  <c r="I76" i="12"/>
  <c r="J76" i="12"/>
  <c r="K76" i="12"/>
  <c r="L76" i="12"/>
  <c r="K7" i="12" l="1"/>
  <c r="F58" i="12"/>
  <c r="E58" i="12"/>
  <c r="E39" i="12" l="1"/>
  <c r="E54" i="12" l="1"/>
  <c r="H83" i="12" l="1"/>
  <c r="H100" i="12" s="1"/>
  <c r="H107" i="12" s="1"/>
  <c r="I83" i="12"/>
  <c r="I100" i="12" s="1"/>
  <c r="J83" i="12"/>
  <c r="J100" i="12" s="1"/>
  <c r="K83" i="12"/>
  <c r="G83" i="12"/>
  <c r="G100" i="12" s="1"/>
  <c r="G107" i="12" s="1"/>
  <c r="K100" i="12" l="1"/>
  <c r="L83" i="12"/>
  <c r="L100" i="12" s="1"/>
  <c r="E53" i="12" l="1"/>
  <c r="E40" i="12"/>
  <c r="E65" i="12" l="1"/>
</calcChain>
</file>

<file path=xl/sharedStrings.xml><?xml version="1.0" encoding="utf-8"?>
<sst xmlns="http://schemas.openxmlformats.org/spreadsheetml/2006/main" count="292" uniqueCount="208">
  <si>
    <t>განმახორციელებელი</t>
  </si>
  <si>
    <t xml:space="preserve">ურბანული მომსახურების გაუმჯობესების პროგრამა (წყალმომარაგებისა და წყალარინების სექტორი) (ADB) </t>
  </si>
  <si>
    <t>დაცული ტერიტორიების მხარდაჭერის პროგრამა კავკასიაში-საქართველო (ეკორეგიონული პროგრამა საქართველო, ფაზა III) (KfW)</t>
  </si>
  <si>
    <t>საქართველოს გაერთიანებული წყალმომარაგების კომპანია</t>
  </si>
  <si>
    <t>ბათუმის მერია</t>
  </si>
  <si>
    <t>შპს ენგურჰესი</t>
  </si>
  <si>
    <t>ენერგეტიკა</t>
  </si>
  <si>
    <t>ურბანული და მუნიციპალური ინფრასტრუქტურა</t>
  </si>
  <si>
    <t>საგზაო ინფრასტრუქტურა</t>
  </si>
  <si>
    <t xml:space="preserve">წყლის ინფრასტრუქტურა </t>
  </si>
  <si>
    <t>დაცული ტერიტორიების განვითარება (CNF)</t>
  </si>
  <si>
    <t xml:space="preserve">სოფლის მეურნეობა </t>
  </si>
  <si>
    <t>სხვა</t>
  </si>
  <si>
    <t>გარემოს დაცვა</t>
  </si>
  <si>
    <t>სესხი</t>
  </si>
  <si>
    <t>გრანტი</t>
  </si>
  <si>
    <t>მდგრადი ურბანული ტრანსპორტის განვითარების საინვესტიციო პროგრამა (ADB)</t>
  </si>
  <si>
    <t>SDR</t>
  </si>
  <si>
    <t>USD</t>
  </si>
  <si>
    <t>ვალუტა</t>
  </si>
  <si>
    <t>სულ</t>
  </si>
  <si>
    <t xml:space="preserve">USD </t>
  </si>
  <si>
    <t>საგზაო დერეფნის საინვესტიციო პროგრამა (ქობულეთის შემოვლითი გზა) (ADB)</t>
  </si>
  <si>
    <t>JPY</t>
  </si>
  <si>
    <t>EUR</t>
  </si>
  <si>
    <t>აღმოსავლეთ-დასავლეთის ჩქაროსნული ავტომაგისტრალის ზესტაფონი-ქუთაისი-სამტრედიის მონაკვეთის მშენებლობა (JICA)</t>
  </si>
  <si>
    <t>სს საქართველოს სახელმწიფო ელექტროსისტემა</t>
  </si>
  <si>
    <t xml:space="preserve">ხელშეკრულების ვალუტაში </t>
  </si>
  <si>
    <t>აღმოსავლეთ-დასავლეთის სატრანზიტო მაგისტრალი IV (აგარა-ზემო ოსიაური) (WB)</t>
  </si>
  <si>
    <t>საკანალიზაციო სისტემების მდგრადი მართვის პროექტი (SIDA)</t>
  </si>
  <si>
    <t>კომენტარი</t>
  </si>
  <si>
    <t xml:space="preserve">შეთანხმებული თანხა </t>
  </si>
  <si>
    <t>აჭარის ავტონომიური რესპუბლიკის ფინანსთა და ეკონომიკის სამინისტრო</t>
  </si>
  <si>
    <t>სსიპ საქართველოს მუნიციპალური განვითარების ფონდი</t>
  </si>
  <si>
    <t>საქართველოს რეგიონული განვითარებისა და ინფრასტრუქტურის სამინისტრო</t>
  </si>
  <si>
    <t>საქართველოს საავტომობილო გზების დეპარტამენტი</t>
  </si>
  <si>
    <t>სახელმწიფო ბიუჯეტში ასახული დონორების მხარდაჭერით დაფინანსებული პროგრამები და პროექტები</t>
  </si>
  <si>
    <t>სსიპ დაცული ტერიტორიების სააგენტო</t>
  </si>
  <si>
    <t>ლარში</t>
  </si>
  <si>
    <t>შიდასახელმწიფოებრივი და ადგილობრივი გზების პროექტი III (WB)</t>
  </si>
  <si>
    <t>შპს მყარი ნარჩენების მართვის კომპანია</t>
  </si>
  <si>
    <t>პროექტის დასრულების თარიღი</t>
  </si>
  <si>
    <t xml:space="preserve"> სულ ათვისებული თანხა (საკასო) **</t>
  </si>
  <si>
    <t>სოფლის მეურნეობის მოდერნიზაციის, ბაზარზე წვდომისა და მდგრადობის პროექტი (GEF, IFAD)</t>
  </si>
  <si>
    <t xml:space="preserve">ირიგაციისა და დრენაჟის სისტემების გაუმჯობესება (WB) </t>
  </si>
  <si>
    <t>რეგიონალური განვითარების პროექტი III ნაწილი (მცხეთა-მთიანეთი და სამცხე-ჯავახეთი) (WB)</t>
  </si>
  <si>
    <t>ქვემო ქართლის ნარჩენების მართვის პროექტი (EBRD, SIDA)</t>
  </si>
  <si>
    <t>აღმოსავლეთ-დასავლეთის ჩქაროსნული ავტომაგისტრალის მოდერნიზაცია-მშენებლობა სამტრედია-გრიგოლეთის მონაკვეთზე (EIB, EU)</t>
  </si>
  <si>
    <t>ქუთაისის მყარი ნარჩენების პროექტი (KfW, EU)</t>
  </si>
  <si>
    <t>ინოვაციური ეკოსისტემის განვითარება (IBRD)</t>
  </si>
  <si>
    <t>საქართველოს შეიარაღებული ძალების შესაძლებლობების გაძლიერება (საფრანგეთი - SG)</t>
  </si>
  <si>
    <t>საქართველოს ურბანული რეკონსტრუქციის და განვითარების პროექტი (EIB)</t>
  </si>
  <si>
    <t>220კვ "ახალციხე-ბათუმი" ხაზის მშენებლობა (WB)</t>
  </si>
  <si>
    <t>შიდასახელმწიფოებრივი გზების აქტივების მართვის პროექტი (WB)</t>
  </si>
  <si>
    <t>ბათუმი (ანგისა) - ახალციხის საავტომობილო გზის ხულო-ზარზმის მონაკვეთის რეაბილიტაცია-რეკონსტრუქცია (Kuwait Fund)</t>
  </si>
  <si>
    <t>მდინარე დებედაზე ხიდის მშენებლობა (EBRD)</t>
  </si>
  <si>
    <t>აღმოსავლეთ-დასავლეთის ჩქაროსნული ავტომაგისტრალის დერეფნის გაუმჯობესების პროექტი (ზემო ოსიაური-რიკოთი) (WB, EIB)</t>
  </si>
  <si>
    <t>KWD</t>
  </si>
  <si>
    <t xml:space="preserve">ბათუმში კომუნალური ინფრასტრუქტურის დაწესებულებათა რეაბილიტაცია (III ფაზა) (KfW, EU-NIF) </t>
  </si>
  <si>
    <t>ბათუმის ავტობუსების პროექტი (E5P, EBRD)</t>
  </si>
  <si>
    <t>თბილისის საჯარო სკოლების რეაბილიტაცია და ენერგო ეფექტურობის გაზრდის პროექტი (CEB, E5P)</t>
  </si>
  <si>
    <t>500 კვ ეგხ წყალტუბო -ახალციხე - ტორტუმი (KfW)</t>
  </si>
  <si>
    <t>250 მგვარ რეაქტორი ქ/ს ზესტაფონში (EBRD)</t>
  </si>
  <si>
    <t>საქართველოს ელექტროენერგეტიკული სექტორის განვითარების შეფასება (WB)</t>
  </si>
  <si>
    <t>500 კვ ეგხ ჯვარი-წყალტუბო (WB)</t>
  </si>
  <si>
    <t>გურიის ელგადაცემის ხაზების ინფრასტრუქტურის გაძლიერება (KfW)</t>
  </si>
  <si>
    <t xml:space="preserve">ბათუმში კომუნალური ინფრასტრუქტურის დაწესებულებათა რეაბილიტაცია (IV ფაზა) (KfW) </t>
  </si>
  <si>
    <t>ქ. ბათუმის ახალი შემოვლითი გზა (ADB, AIIB)</t>
  </si>
  <si>
    <t xml:space="preserve"> - დაახლოებით 100 კილომეტრი 500კვ ერთჯაჭვა გადამცემი ხაზის „ჯვარი-წყალტუბო“ მშენებლობა;
 - 500კვ ქვესადგურის „წყალტუბო“ მშენებლობა.
(დაგეგმილი)</t>
  </si>
  <si>
    <t xml:space="preserve"> წყლის ინფრასტრუქტურის განახლების პროექტი II (EIB, EU)</t>
  </si>
  <si>
    <t>500-220 კვ ქ/ს-ის "ჯვარი" და შესაბამისი ელექტროგადამცემი ხაზების მშენებლობა (EBRD, KfW, EU)</t>
  </si>
  <si>
    <t>500 კვ ეგხ-ის მშენებლობა ქსანი-სტეფანწმინდა (KfW)</t>
  </si>
  <si>
    <t>*პროექტები, რომელთა დასაფინანსებლად სხვადასხვა დროს გაფორმდა რამდენიმე ხელშეკრულება, მითითებულია პირველი ხელშეკრულების ხელმოწერის თარიღი</t>
  </si>
  <si>
    <r>
      <rPr>
        <sz val="12"/>
        <rFont val="Arial"/>
        <family val="2"/>
        <charset val="204"/>
      </rPr>
      <t>**</t>
    </r>
    <r>
      <rPr>
        <sz val="12"/>
        <rFont val="Franklin Gothic Book"/>
        <family val="2"/>
        <scheme val="minor"/>
      </rPr>
      <t xml:space="preserve"> კომერციულ ბანკებში გახსნილი ანგარიშებიდან თანხების ათვისების მონაცემები შესაძლოა დაზუსტდეს მომდევნო თვეებში</t>
    </r>
  </si>
  <si>
    <t xml:space="preserve"> - 220 კვ ორჯაჭვა ეგხ "ხუდონი-ნენსკრა" მშენებლობა;
 - 110 კვ ეგხ "ხუდონი - მესტია" მშენებლობა;
 - 125 მვა, 110/35 კვ ქვესადგური "მესტია" მშენებლობა;
 - 500/220/110კვ ქვესადგური "ხუდონი" მშენებლობა;
 - 500კვ ეგხ კავკასიონი"-ს შეჭრა ქვესადგურში "ხუდონი";
 - 110 კვ ორჯაჭვა ხაზი "ხელედულა - ჯახუნდერი" მშენებლობა;
 - 220/110 კვ 125 მგვა ქ/ს ლაჯანურის მშენებლობა/გაფართოება 
 (დაგეგმილი)</t>
  </si>
  <si>
    <t>საქართველოს შეიარაღებული ძალების შესაძლებლობების გაძლიერება (მიმდინარეობს)</t>
  </si>
  <si>
    <t>შიდასახელმწიფოებრივი მნიშვნელობის ძირულა-ხარაგაული-მოლითი-ფონა-ჩუმათელეთის საავტომობილო გზის ჩუმათელეთი-ხარაგაულის მონაკვეთის რეაბილიტაცია-რეკონსტრუქცია (ADB)</t>
  </si>
  <si>
    <t>19,06,2017</t>
  </si>
  <si>
    <t>31,08,2021</t>
  </si>
  <si>
    <t>თბილისი-სენაკი-ლესელიძის საავტომობილო გზის ხევი უბისას მონაკვეთის რეკონსტრუქცია - მშენებლობა (ADB)</t>
  </si>
  <si>
    <t>სენაკი-ფოთი-სარფის საავტომობილო გზის კმ48-კმ64 გრიგოლეთი-ჩოლოქის მონაკვეთის მშენებლობა (EIB)</t>
  </si>
  <si>
    <t>თბილისი-წითელი ხიდის (აზერბაიჯანის რესპუბლიკის საზღვარი) საავტომობილო გზის კმ22-კმ57 რუსთავი-წითელი ხიდის მონაკვეთის მშენებლობა (EIB)</t>
  </si>
  <si>
    <t>ალგეთი-სადახლოს საავტომობილო გზის მშენებლობა-მოდერნიზაცია (EIB)</t>
  </si>
  <si>
    <t>ქუთაისის წყალარინების პროექტი (EIB, EPTATF)</t>
  </si>
  <si>
    <t>04,12,2017</t>
  </si>
  <si>
    <t>31,12,2023</t>
  </si>
  <si>
    <t>თბილისი-სენაკი-ლესელიძის საავტომობილო გზის ჩუმათელეთი-ხევის მონაკვეთის რეკონსტრუქცია-მშენებლობა (EIB, WB)</t>
  </si>
  <si>
    <t>31,12,2021</t>
  </si>
  <si>
    <t xml:space="preserve"> ენგურის ჰიდროელექტროსადგურების რეაბილიტაციის პროექტი  -  კლიმატური პიროგებისადმი მდგრადობის გაუმჯობესება (EBRD , EU)</t>
  </si>
  <si>
    <t>საქართველოში საჯარო შენობების ენერგოეფექტურობის გაუმჯობესება და განახლებადი-ალტერნატიული ენერგიის გამოყენება (E5P, NEFCO)</t>
  </si>
  <si>
    <t>მყარი ნარჩენების ინტეგრირებული მართვის პროგრამა II (კახეთი, სამეგრელო-ზემო სვანეთი) (KfW)</t>
  </si>
  <si>
    <t>თბილისის მყარი ნარჩენების მართვის პროექტი (EBRD)</t>
  </si>
  <si>
    <t xml:space="preserve">კახეთის ინფრასტრუქტურის გაძლიერება (KfW) </t>
  </si>
  <si>
    <t>ხელედულა-ლაჯანური-ონი (KfW)</t>
  </si>
  <si>
    <t>საქართველოს სხვადასხვა რეგიონში მცირე ზომის ინფრასტრუქტურული პროექტები (გზების, ქუჩების, წყალსადენის, კანალიზაციის სისტემების რეაბილიტაცია) (მიმდინარეობს სამშენებლო სამუშაოები).</t>
  </si>
  <si>
    <t xml:space="preserve"> - აჭარაში (ქობულეთში, სოფელ ცეცხლაურთან) თანამედროვე ტიპის ნაგავსაყრელის მშენებლობა (მიმდინარეობს პროექტის მოსამზადებელი სამუშაოები);
 - ბათუმის არსებული ნაგავსაყრელის დახურვა (დახურვა მოხდება ახალი ნაგავსაყრელის ამოქმედების შემდეგ).</t>
  </si>
  <si>
    <t xml:space="preserve">  - ახალი ნაგავსაყრელის (ქუთაისის შესასვლელი, სოფელი ჭოგნარი) მოწყობა (მიმდინარეობს მოსამზადებელი სამუშაოები);
 - მყარი ნარჩენების ტრანსპორტირებისა და ნაგავსაყრელის ფუნქციონირებისათვის საჭირო მანქანების/აღჭურვილობის შეძენა (დაგეგმილი)
 - ქუთაისის არსებული ნაგავსაყრელის დახურვა (დაიხურება ქუთაისის ახალი ნაგავსაყრელის ამოქმედების შემდეგ).</t>
  </si>
  <si>
    <t>მცხეთა-მთიანეთში და სამცხე ჯავახეთში ინფრასტრუქტურის რეაბილიტაცია და კულტურული მემკვიდრეობის ძეგლების მიმდებარე ტერიტორიის კეთილმოწყობა (მიმდინარეობს სამშენებლო სამუშაოები).</t>
  </si>
  <si>
    <t>ქვემო ქართლის რეგიონში (მარნეული) ახალი ნაგავსაყრელის მშენებლობა (მიმდინარეობს მოსამზადებელი სამუშაოები).</t>
  </si>
  <si>
    <t xml:space="preserve"> - საქართველოს სხვადასხვა რეგიონში მცირე ზომის ინფრასტრუქტურული პროექტები (გზების, ქუჩების, წყალსადენის, კანალიზაციის სისტემების რეაბილიტაცია);
 - თბილისში 2015 წელს წყალდიდობის შედეგად დაზიანებული ინფრასტრუქტურის რეაბილიტაცია
(მიმდინარეობს სამშენებლო სამუშაოები).</t>
  </si>
  <si>
    <t xml:space="preserve">27.01.2019  </t>
  </si>
  <si>
    <t>15.10.2015</t>
  </si>
  <si>
    <t>15.10.2020</t>
  </si>
  <si>
    <t>ქალაქ ქუთაისის წყალარინების სისტემის და გამწმენდი ნაგებობის მშენებლობა (მიმდინარეობს სარეაბილიტაციო სამუშაოების  პროექტირებისა  და ზედამხედველობის მომსახურების  შესყიდვასთან დაკავშირებული პროცედურები).</t>
  </si>
  <si>
    <t>ბათუმში წყალმომარაგების და წყალარინების სისტემის რეაბილიტაცია და გაფართოება (მიმდინარეობს).</t>
  </si>
  <si>
    <t>საქართველოს სხვადასხვა რეგიონში წყლის მიწოდების გაუმჯობესება (მიმდინარეობს).</t>
  </si>
  <si>
    <t xml:space="preserve">  - 500კვ ორჯაჭვა ეგხ-ის „წყალტუბო-ახალციხე“ მშენებლობას (დაახლოებით 160კმ) ;
 - 500კვ ქვესადგურის - „ახალციხე“ გაფართოება;
 - 400კვ ეგხ-ის „ახალციხე-თორთუმი“ მშენებლობა თურქეთის საზღვრამდე დაახლ. 30 კმ);
(დაგეგმილი).</t>
  </si>
  <si>
    <t>ახალციხიდან ბათუმამდე (142 კმ სიგრძის) მაღალი ძაბვის (220კვ) ელექტროგადამცემი ხაზის მშენებლობა (მიმდინარეობს).</t>
  </si>
  <si>
    <t>ირიგაციისა და დრენაჟის სისტემების რეაბილიტაცია და მოდერნიზაცია: ქვემო სამგორის საირიგაციო არხი (2200 ჰექტარი), ტბისი-კუმისის საირიგაციო არხი (2200 ჰექტარი) და ზედა რუს საირიგაციო არხი (1319 ჰექტარი) (მიმდინარეობს).</t>
  </si>
  <si>
    <t>რამდენიმე საპილოტე ადგილში (მათ შორის შუახევი, ვანი, მარტვილი, მესტია, დედოფლისწყარო, გურჯაანი, გორი, მცხეთა, თიანეთი, თეთრიწყარო) მიწის რეგისტრაციასთან დაკავშირებული ღონისძიებები (მიმდინარეობს).</t>
  </si>
  <si>
    <t xml:space="preserve"> - ბორჯომ-ხარაგაულის ეროვნული პარკის მხარდაჭერა;
 - ლაგოდეხის დაცული ტერიტორიის მხარდაჭერა;
 - ვაშლოვანის დაცული ტერიტორიის მხარდაჭერა;
 - თუშეთის დაცული ტერიტორიის მხარდაჭერა.
(მომზადდა ბორჯომ-ხარაგაულის სახვლარის საძოვრების შეფასება, დასრულდა ბორჯომ-ხარაგაულის და ჯავახეთის ტურისტული სტრატეგიების მომზადება; მომზადდა ბორჯომის ადმინისტრაციაში მცირე სავაჭრო/სუვენირების დახლის პროექტი; მომზადდა სტატია ჯავახეთზე და ლაგოდეხზე ჟურნალისთვის "The Georgian", რომელიც გერმანიის ტურისტულ გამოფენაზე გავრცელდა).</t>
  </si>
  <si>
    <t>30.09.2021</t>
  </si>
  <si>
    <t>დაგეგმილი</t>
  </si>
  <si>
    <t xml:space="preserve">ზუგდიდში (არსებული ნაგავსაყრელის ბაზაზე) და გურჯანში (სოფელ მელაანში) რეგიონული მუნიციპალური ნაგავსაყრელის მოწყობა  რომელიც მოემსახურება  სამეგრელო-ზემო სვანეთის და კახეთის რეგიონებს (მიმდინარეობს მოსამზადებელი სამუშაოები). </t>
  </si>
  <si>
    <t xml:space="preserve">თბილისის დაახლოებით 25 საჯარო სკოლის რეკონსტრუქცია-გამაგრება და აღნიშნულ სკოლებში ენერგო ეფექტურობის გაზრდა (მიმდინარეობს მოსამზადებელი სამუშაოები). </t>
  </si>
  <si>
    <t>თბილისი-სენაკი-ლესელიძის საავტომობილო გზის უბისა-შორაპანის მონაკვეთის რეკონსტრუქცია-მშენებლობა  (მიმდინარეობს სამშენებლო სამუშაოები).</t>
  </si>
  <si>
    <t xml:space="preserve"> გრიგოლეთი-ქობულეთის შემოვლითი გზის მონაკვეთის მშენებლობა (მიმდინარეობს სამშენებლო სამუშაოები).</t>
  </si>
  <si>
    <t xml:space="preserve">  - ძირულა-ხარაგაული-მოლითი-ფონა-ჩუმათელეთის დამაკავშირებელი შიდასახელმწიფოებრივი გზის რეაბილიტაცია  (ძირულა -მოლითის გზის რეაბილიტაცია (მიმდინარეობს სამშენებლო სამუშაოები).</t>
  </si>
  <si>
    <t>მდინარე რიონზე ფოთის ხიდის მშენებლობა (ADB)</t>
  </si>
  <si>
    <t>ჩრდილოეთის რგოლი (EBRD), ნამახვანი - წყალტუბო - ლაჯანური(EBRD)</t>
  </si>
  <si>
    <t>მცხეთა-სტეფანწმინდა-ლარსის საავტომობილო გზის ქვეშეთი-კობის მონაკვეთზე საავტომობილო გზის და გვირაბის მშენებლობა (ADB, EBRD )</t>
  </si>
  <si>
    <t xml:space="preserve">თბილისი-ბაკურციხე-ლაგოდეხის საავტომობილო გზის კმ20-კმ50 ლოჭინი-საგარეჯოს მონაკვეთის მშენებლობა </t>
  </si>
  <si>
    <t>2020 წლის ბიუჯეტით დამტკიცებული თანხა</t>
  </si>
  <si>
    <t>2020 წლის განმავლობაში ათვისებული თანხა (საკასო) **</t>
  </si>
  <si>
    <t>თბილისი-სენაკი-ლესელიძის საავტომობილო გზის უბისა შორაპანის მონაკვეთის რეკონსტრუქცია-მშენებლობა  (EIB)</t>
  </si>
  <si>
    <t>თბილისი-სენაკი-ლესელიძის საავტომობილო გზის შორაპანი არგვეთას მონაკვეთის რეკონსტრუქცია-მშენებლობა (ADB)</t>
  </si>
  <si>
    <t>რეგიონალური და მუნიციპალური ინფრასტრუქტურის განვითარების პროექტი II (WB, SDC)</t>
  </si>
  <si>
    <t>საცხოვრებლად ვარგისი ქალაქების საინვესტიციო პროგრამა (ADB)</t>
  </si>
  <si>
    <t>ურბანული ტრანსპორტის განვითარების პროგრამა (EBRD)</t>
  </si>
  <si>
    <t>ბაკურიანის მუნიციპალური სერვისების გაუმჯობესების პროგრამა (EBRD)</t>
  </si>
  <si>
    <t>მერძევეობის დარგის მოდერნიზაციის და ბაზარზე წვდომის პროგრამა (DiMMA) (IFAD)</t>
  </si>
  <si>
    <t>პროფესიული განათლება I (KfW)</t>
  </si>
  <si>
    <t xml:space="preserve">რესურსით ძირითადად დაფინანსდება „საცხოვრებლად ვარგისი ქალაქების საინვესტიციო პროგრამი“-ს ფარგლებში დაგეგმილი პროექტების მოსამზადებელი ღონისძიებები (პროექტების ტექნიკურ-ეკონომიკური კვლევის ჩატარება, სოციალური და გარემოსდაცვითი გარემოებების დეტალური შესწავლა,  საპროექტო და სატენდერო დოკუმენტაციის მომზადება და სხვა). </t>
  </si>
  <si>
    <t xml:space="preserve"> - ბათუმში წყალმომარაგების და საკანალიზაციო ქსელის რეაბილიტაცია (სამუშაოების ნაწილი დასრულდა);
 - წყლის რეზერვუარების მშენებლობა - რეაბილიტაცია (დასრულდა);
 - გამწმენდი ნაგებობების მშენებლობა - რეაბილიტაცია (დასრულდა);
 - საკანალიზაციო სისტემის შექმნა აჭარის სანაპირო სოფლებში, კერძოდ გონიოში, კვარიათში, სარფში და ახალსოფელში (დასრულდა);
 - ბათუმის მიმდებარე სამ სოფელში (ჩაქვი, მწვანე კონცხი და მახინჯაური) არსებული წყალმომარაგების ინფრასტრუქტურის მოდერნიზაცია და აღნიშნული სოფლების უზრუნველყოფა დეცენტრალიზებული წყალარინების სისტემებით (მიმდინარეობს);
 - ბათუმში სანიაღვრე სისტემის ნაწილის რეაბილიტაცია (მიმდინარეობს);
 - ბათუმში წყლის მრიცხველების დამონტაჟება (დასრულდა).</t>
  </si>
  <si>
    <t>გამოყენებითი კვლევების საგრანტო პროგრამა (ინოვაციური ეკოსისტემის განვითარება (IBRD)</t>
  </si>
  <si>
    <t xml:space="preserve">  - ენგურის ჰიდროელექტროსადგურის კასკადის რეაბილიტაციის დასრულება, 
 საქართველოში  სუფთა განახლებადი ენერგიის ხელმისაწვდომლობის გაზრდის მიზნით;  (მიმდინარეობს)
  -   ენგურის ჰიდროელექტროსადგურის რეაბილიტაციის დასრულების ხელშეწყობა, მათ შორი საგანგებო რემონტის  განხორციელება  მიწისქვეშა გვირაბსა თუ მილსადენზე, მთლიანი წარმოების გაზრდის მიზნით; (მიმდინარეობს)
 -  კლიმატური პიროპებისადმი მდგრადობის გაუმჯობესების უზრუნველყოფა.(მიმდინარეობს)</t>
  </si>
  <si>
    <t>250 მგვარ სიმძლავრის რეგულირებადი რეაქტორის მშენებლობა - ,,ქ/ს ზესტაფონი 500-ში“ (დასრულდა).</t>
  </si>
  <si>
    <t xml:space="preserve"> - ახალი 500/220 კვ ქვესადგურის მშენებლობა ჯვარში (დასრულდა);
 - კავკასიონის გადამცემი ხაზიდან ჯვარის ქვესადგურამდე და ჯვარის ქვესადგურსა და ხორგას ქვესადგურებს შორის ელექტროგადამცემი ხაზების მშენებლობა (მიმდინარეობს);
 - ქვესადგურების ქსანის და სტეფანწმინდის დამაკავშირებელი ელექტროგადამცემი ხაზის მშენებლობა (500 კვ) (დასრულდა).</t>
  </si>
  <si>
    <t>ელექტროენერგიის სექტორის სტრატეგიული გარემოსდაცვითი ზემოქმედების შეფასება (დასრულდა)</t>
  </si>
  <si>
    <t xml:space="preserve"> პროფესიული კოლეჯის „ექსელენს ცენტრი“-ს მშენებლობა მათ შორის, საკლასო ოთახებისა და სახელოსნოების აღჭურვა და უკვე არსებულ პროფესიულ კოლეჯებში მცირე ინვესტიციების განხორციელება.</t>
  </si>
  <si>
    <t>ქობულეთის ახალი შემოვლითი გზის მშენებლობა (დაახლოებით 32 კმ სიგრძე) (პირველი მონაკვეთი (12+400 - კმ 31+259) გახსნილია, სამშენებლო სამუშაოები დასრულდა მეორე მონაკვეთზე (18 კმ), მოძრაობა გახსნილია).
- ხევი-არგვეთას მონაკვეთზე დასრულდა დეტალური პროექტის მომზადების სამუშაოები.
- თბილისის შემოსავლელი და ნატახტარი-ჟინვალის მონაკვეთზე მიმდინარეობს დეტალური პროექტის მომზადების სამუშაოები. პროგრამის დასრულების გამო, შეიცვალა აღნიშნული ხელშეკრულების დაფინანსების წყარო. ხელშეკრულება გადავიდა  ხევი-უბისას მონაკვეთის მშენებლობის პროექტში.</t>
  </si>
  <si>
    <t xml:space="preserve"> - ყაზბეგის,  კინტრიშის,  ალგეთის დაცული ტერიტორიების ადმინისტრაციების და ვიზიტორთა ცენტრების მშენებლობა დასრულებულია;
-  ყაზბეგის,  კინტრიშის,  ალგეთის და ფშავ-ხევსურეთის ეკო-ტურიზმის სტრატეგიები შემუშავებულია;
-  ყაზბეგის,  კინტრიშის,  ალგეთის და ფშავ-ხევსურეთის მენეჯმენტის გეგმები შემუშავებულია, მომზადებულია დასამტკიცებლად;
-  ფშავ-ხევსურეთის ადმინისტრაციის და ვიზიტორთა ცენტრის მშენებლობა მიმდინარეობს; 
-  მანგლისის როშის პარკის რეაბილიტაცია სრულდება;
- ფშავ-ხევსურეთის დემარკაცია დასრულდა;
-  ყაზბეგის,  კინტრიშის,  ალგეთის და ფშავ-ხევსურეთის ფიზიკური დემარკაცია დასრულდა;
- პრომეთეს მღვიმის საგამოფენო სივრცის რეაბილიტაცია სრულად განხორციელდა;
- მანგლისში, ალგეთის ეროვნულ პარკში მოეწყო თოკების პარკი;</t>
  </si>
  <si>
    <t xml:space="preserve">თბილისი-სენაკი-ლესელიძის საავტომობილო გზის ხევი უბისას მონაკვეთის რეკონსტრუქცია - მშენებლობა (მიმდინარეობს სამშენებლო სამუშაოები).
თბილისის შემოსავლელი და ნატახტარი-ჟინვალის მონაკვეთზე მიმდინარეობს დეტალური პროექტის მომზადების სამუშაოები. </t>
  </si>
  <si>
    <t>ეკონომიკური მონაწილეობა, საცხოვრებლით უზრუნველყოფა და სოციალური ინფრასტრუქტურა იძულებით გადაადგილებულ პირთა და მასპინძელი თემებისათვის (KfW)</t>
  </si>
  <si>
    <r>
      <t>ხელშეკრულების ხელმოწერის თარიღი</t>
    </r>
    <r>
      <rPr>
        <b/>
        <sz val="12"/>
        <color theme="1"/>
        <rFont val="Calibri"/>
        <family val="2"/>
      </rPr>
      <t>*</t>
    </r>
  </si>
  <si>
    <t>31.10.2020</t>
  </si>
  <si>
    <t xml:space="preserve">    </t>
  </si>
  <si>
    <t>COVID-19-თან დაკავშირებული ჯანდაცვის სფეროს  ღონისძიებების დაფინანსება (EIB)</t>
  </si>
  <si>
    <t>თბილისის მეტროს პროექტი (EBRD)</t>
  </si>
  <si>
    <t>აჭარის სოფლების წყალმომარაგებისა და წყალარინების პროგრამა, საქართველო (EU-NIF, KfW)</t>
  </si>
  <si>
    <t>თბილისის ავტობუსების პროექტი (ფაზა II) (EBRD)</t>
  </si>
  <si>
    <t>ინოვაციის, ინკლუზიურობის და ხარისხის პროექტი - საქართველო I2Q (IBRD) -MES</t>
  </si>
  <si>
    <t>ინოვაციის, ინკლუზიურობის და ხარისხის პროექტი - საქართველო I2Q (IBRD) -  MDF</t>
  </si>
  <si>
    <t>თბილისი-ბაკურციხე-ლაგოდეხის საავტომობილო გზის კმ20-კმ50 ლოჭინი-საგარეჯოს მონაკვეთის მშენებლობა   (მიმდინარეობს დეტალური პროექტის მომზადების სამუშაოები).</t>
  </si>
  <si>
    <t>30.08.2024</t>
  </si>
  <si>
    <t>31.08.2022</t>
  </si>
  <si>
    <t>31.12.2020</t>
  </si>
  <si>
    <t xml:space="preserve"> - აგარა - ზემო ოსიაურის მონაკვეთზე (დაახლოებით 12 კმ) ავტომაგისტრალის მშენებლობა (დასრულდა; მოძრაობა გახსნილია);
  - ნაპირსამაგრი ნაგებობის (დაახლოებით 3.4 კმ) მშენებლობა (დასრულდა);
  - რიკოთი - ზესტაფონის მონაკვეთზე ახალი ავტომაგისტრალის მშენებლობის ტექნიკურ - ეკონომიკური შესწავლა (მათ შორის რიკოთის მეორე გვირაბი) და სხვა მოსამზადებელი სამუშაოები (დასრულდა).
 - ჩუმათელეთი-ხევის, ჟინვალი-ლარსის და სამტრედია-ზუგდიდი-ანაკლიის მონაკვეთებზე დეტალური პროექტის მომზადების სამუშაოები დასრულდა
 - რუსთავი-წითელი ხიდი-სადახლოს მონაკვეთზე დასრულდა დეტალური პროექტის მომზადების სამუშაოები.
- თბილისი-ლაგოდეხის მონაკვეთებზე მიმდინარეობს დეტალური პროექტის მომზადების სამუშაოები.</t>
  </si>
  <si>
    <t xml:space="preserve"> - ზესტაფონი - ქუთაისის ახალი შემოვლითი გზის მშენებლობა (15.2 კმ)  დასრულდა. გზის მონაკვეთი გახსნილია მოძრაობისთვის); 
 - ქუთაისის ახალი შემოვლითი გზის მშენებლობა (სამშენებლო სამუშაოები დასრულდა და შემოვლითი გზის 17.3 კილომეტრიანი მონაკვეთი გაიხსნა 2014 წელს);
 - ქუთაისი - სამტრედიის მონაკვეთზე ახალი გზის მშენებლობა (სამშენებლო სამუშაოები დასრულდა, 24 კილომეტრიან მონაკვეთზე მოძრაობა გახსნილია).</t>
  </si>
  <si>
    <t xml:space="preserve"> - აღმოსავლეთ-დასავლეთის ჩქაროსნული ავტომაგისტრალის დერეფნის ჩუმათელეთიდან ხევამდე დაახლოებით 11 კილომეტრიან მონაკვეთზე არსებული ორზოლიანი გზის გაუმჯობესება ოთხზოლიან მაგისტრალად (მიმდინარეობს სამშენებლო სამუშაოები).</t>
  </si>
  <si>
    <r>
      <t xml:space="preserve"> - მყარი ნარჩენების შეგროვების სადგურის განახლება (ახალი ნაგავმზიდი და მექანიკური დამგველი მანქანის შეძენა) - გამოცხადდა ტენდერი;
 - არსებული მყარი ნარჩენების გადატვირთვის სადგურის განახლება - მიმდინარეობს სატენდეო დოკუმენტაციის მომზადების პროცესი;
  -თბილისის მყარი ნარჩენების ნაგავსაყრელზე ნაჟური წყლის  (</t>
    </r>
    <r>
      <rPr>
        <sz val="1"/>
        <rFont val="Franklin Gothic Book"/>
        <family val="2"/>
        <scheme val="minor"/>
      </rPr>
      <t>(</t>
    </r>
    <r>
      <rPr>
        <sz val="12"/>
        <rFont val="Franklin Gothic Book"/>
        <family val="2"/>
        <scheme val="minor"/>
      </rPr>
      <t>ლიჩეტის)</t>
    </r>
    <r>
      <rPr>
        <sz val="1"/>
        <rFont val="Franklin Gothic Book"/>
        <family val="2"/>
        <scheme val="minor"/>
      </rPr>
      <t>)</t>
    </r>
    <r>
      <rPr>
        <sz val="12"/>
        <rFont val="Franklin Gothic Book"/>
        <family val="2"/>
        <scheme val="minor"/>
      </rPr>
      <t xml:space="preserve">  სისტემის რეაბილიტაცია და გაუმჯობესება - თანხმდება სისტემის სპეციფიკაცია კონსულტანტთან.</t>
    </r>
  </si>
  <si>
    <r>
      <t xml:space="preserve">
</t>
    </r>
    <r>
      <rPr>
        <b/>
        <sz val="12"/>
        <rFont val="Franklin Gothic Book"/>
        <family val="2"/>
        <scheme val="minor"/>
      </rPr>
      <t>საქართველოს სხვადასხვა რეგიონში მცირემიწიან ფერმერთა შემოსავლების ზრდის მხარდაჭერა და სოფლის მეურნეობის პროდუქციის წარმოება/გადამუშავება/რეალიზაციის კუთხით ინვესტიციების ხელშეწყობა</t>
    </r>
    <r>
      <rPr>
        <sz val="12"/>
        <rFont val="Franklin Gothic Book"/>
        <family val="2"/>
        <scheme val="minor"/>
      </rPr>
      <t xml:space="preserve">
- მიმდინარეობს ტირიფონის სარწყავი სისტემის გ-3-2-1 გამანაწილებლის (გორის მუნიციპალიტეტი) შიდა ქსელის  რეაბილიტაციის სამუშაოები;
- მიმდინარეობს ტირიფონის სარწყავი სისტემის გ-3 გამანაწილებლის (გორის მუნიციპალიტეტი) შიდა ქსელის  რეაბილიტაცია.
</t>
    </r>
  </si>
  <si>
    <t>- იძულებით გადაადგილებული ოჯახების საკუთრებაში არსებულ მიწის ნაკვეთებზე საქართველოში სულ 236 სახლი აშენდება. იქმნება მარნეულში სოფლის  ტიპის დასახლება იძულებით გადაადგილებული ოჯახებისთვის;
- 24 მცირე მასშტაბის ინფრასტრუქტურული პროექტი განხორციელდება იმ დასახლებების მახლობლად, სადაც ცხოვრობენ იძულებით გადაადგილებული პირები. აშენდება რვა ახალი საბავშვო ბაღი და განახლდება ორი სკოლამდელი აღზრდის დაწესებულება;
- სულ გაიცემა 236 გრანტი, რათა შემოსავლის წყარო მიეცეს ახალ საცხოვრებელ ზონაში გადაადგილებულ ოჯახებს;
- გაიცემა 130 ბიზნეს გრანტი მცირე და საშუალო საწარმოებისთვის, იძულებით გადაადგილებულ პირთა სამუშაო ადგილების შესაქმნელად. იძულებით გადაადგილებული 260-მდე ახალგაზრდა გაივლის პროფესიული კვალიფიკაციის კურსებს. ასევე, დასავლეთ საქართველოში აშენდება საგანმანათლებლო ცენტრები იძულებით გადაადგილებულ პირთა პროფესიული განათლებისა და უნარების გასაუმჯობესებლად.</t>
  </si>
  <si>
    <r>
      <t xml:space="preserve">  - ბათუმის შემოვლითი, 14.3 კილომეტრიანი, ორ ზოლიანი გზის მშენებლობა  (მიმდინარეობს  სამშენებლო სამუშაოები);
  -</t>
    </r>
    <r>
      <rPr>
        <sz val="12"/>
        <color theme="1"/>
        <rFont val="Franklin Gothic Book"/>
        <family val="2"/>
        <scheme val="minor"/>
      </rPr>
      <t xml:space="preserve"> სასესხო შეთანხმებით გათვალისწინებული მოვლა-შენახვის სამუშაოების ნაცვლად განხორციელდება თბილისი (გლდანი) - თიანეთის საავტომობილო გზის 21 კმ სიგრძის მონაკვეთის (7 მეწყრული ზონის ჩათვლით) სარეაბილიტაციო სამუშაოები (მიმდინარეობს დეტალური პროექტის მომზადების სამუშაოები).</t>
    </r>
    <r>
      <rPr>
        <sz val="12"/>
        <rFont val="Franklin Gothic Book"/>
        <family val="2"/>
        <scheme val="minor"/>
      </rPr>
      <t xml:space="preserve">
- ბათუმი-სარფის მონაკვეთზე მიმდინარეობს  დეტალური პროექტის მომზადების სამუშაოები.</t>
    </r>
  </si>
  <si>
    <t>მცხეთა-სტეფანწმინდა-ლარსის საავტომობილო გზის ქვეშეთი-კობის მონაკვეთზე საავტომობილო გზის და გვირაბის მშენებლობა   (მიმდინარეობს სამშენებლო სამუშაოები).</t>
  </si>
  <si>
    <r>
      <t>საქართველოს სხვადასხვა რეგიონში (დაახლოებით 200 კმ საერთო სიგრძის) შიდასახელმწიფოებრივი და ადგილობრივი გზების რეაბილიტაცია  (პროექტის ფარგლ</t>
    </r>
    <r>
      <rPr>
        <sz val="12"/>
        <color theme="1"/>
        <rFont val="Franklin Gothic Book"/>
        <family val="2"/>
        <scheme val="minor"/>
      </rPr>
      <t xml:space="preserve">ებში დასრულდა სარეაბილიტაციო სამუშაოები დამატებით 12 გზის (მთლიანობაში დაახლოებით 80 კმ) მონაკვეთზე);  დასრულდა იმერეთსა და შიდა ქართლის რეგიონებში საავტომობილო გზებზე არსებული საგზაო მოძრაობის უსაფრთხოების გაუმჯობესების სამუშაოები; მიმდინარეობს რაჭა-ლეჩხუმისა და ქვემო სვანეთის, იმერეთისა და აჭარის რეგიონებში საავტომობილო გზებზე არსებული საგზაო მოძრაობის უსაფრთხოების გაუმჯობესების სამუშაოები; </t>
    </r>
    <r>
      <rPr>
        <sz val="12"/>
        <rFont val="Franklin Gothic Book"/>
        <family val="2"/>
        <scheme val="minor"/>
      </rPr>
      <t xml:space="preserve">
- ბაკურციხე-წნორი და გურჯაანი-თელავის მონაკვეთი (დასრულდა დეტალური პროექტის მომზადება).  
- გურჯაანის შემოვლითი გზის 15,5 კმ-იანი მონაკვეთიდან  დასრულებულია 8 კმ გზის მონაკვეთი, ასევე დასრულდა 7 ხიდიდან 6 ხიდის მშენებლობა, მიმდინარეობს მიწის სამუშოები და ხელოვნური ნაგებობებისა და საგზაო სამოსის კონსტრუქციის საფუძვლის ზედა ფენის მოწყობა.</t>
    </r>
  </si>
  <si>
    <t>პროეკტი Log-in Georgia (WB)</t>
  </si>
  <si>
    <t xml:space="preserve"> - 220/110კვ ქვესადგური "ოზურგეთი", 250 მვა დადგმული სიმძლავრით;
 - 220კვ ეგხ "პალიასტომი"-დან ორჯაჭვა ეგხ-ის შეჭრა 220/110 კვ ქს-ში "ოზურგეთი";
 - ახალი 110კვ ქვესადგურის მშენებლობა ჩოხატაურში;
 - ახალი ორჯაჭვა 110კვ ხაზი "ოზურგეთი-ჩოხატაური"</t>
  </si>
  <si>
    <t>მდგრადი წყალმომარაგებისა და სანიტარული სექტორის განვითარების პროგრამა (ADB)</t>
  </si>
  <si>
    <t>იმერეთის და ყაზბეგის მუნიციპალიტეტებში კომუნალური ინფრასტრუქტურის გაუმჯობესება (KfW)</t>
  </si>
  <si>
    <t>ქალაქ ხაშურის და მიმდებარე დასახლებების წყალმომარაგებისა და წყალარინების სისტემების გაუმჯობესება (AFD)</t>
  </si>
  <si>
    <t>აჭარის მყარი ნარჩენების პროექტი (EBRD, SIDA)</t>
  </si>
  <si>
    <t xml:space="preserve">ფართოზოლოვან ინტერნეტთან წვდომის გაზრდა და მის გამოყენების ხელშეწყობა ინდივიდუალური პირებისა და საწარმოების მიერ, შერჩეულ სასოფლო დასახლებებში, </t>
  </si>
  <si>
    <t xml:space="preserve">ავტობუსების (დიზელის და ელექტრო) შეძენა. 
დიზელის 40 ერთეული ავტობუსი შემოსულია საქართველოში; 
ელექტრო ავტობუსები (8 ერთეული) შეძენილია და შემოყვანილია. </t>
  </si>
  <si>
    <t>146 ერთეული ავტობუსი შეძენილია და შემოტანილი; 2021 წლის მაისის ბოლომდე იგეგმება დარჩენილი 80 ავტობუსის შეძენა და შემოყვანა.</t>
  </si>
  <si>
    <t>თბილისის მეტროს ვაგონების შეძენა; მეტროს დეპოსა და გვირაბის რეაბილიტაცია.
ვაგონების შესაძენად მიმდინარეობს ტენდერის მეორე ეტაპი (გახსნა 31 მარტი); გამარჯვებულ კომპანიასთნ ხელშეკრულების გაფორმება იგეგმება 2021 წლის ივნისში.</t>
  </si>
  <si>
    <t>(i) საზოგადოებრივი ჯანდაცვის სქემების დაფინანსებას, რომელიც ეხება ზოგადად საზოგადოებრივ ჯანდაცვის სფეროს (მთელს საქართველოში სამედიცინო ინფრასტრუქტურის განახლება, მშენებლობა და აღჭურვა); და (ii) COVID19 სპეციფიკური სქემები , რომლებიც ეხება COVID-19 პანდემიაზე რეაგირებას.</t>
  </si>
  <si>
    <t>დაბა ბაკურიანში მომსახურების ხარისხისა და უსაფრთხოების ზომების გაუმჯობესებისთვის, სპეციალური ტექნიკის შესყიდვა. 10 ავტობუსი მოწოდებულია, ტექნიკის ნაწილი შეძენილია. საბოლოოდ მოწოდებული იქნება ტექნიკა სრულად 2021 ივლისში.</t>
  </si>
  <si>
    <t>საქართველოს 6 ქალაქისთვის (გორი, ქუთაისი, ფოთი,რუსთავი,თელავი და ზუგდიდი) 175 ერთეული ახალი ავტობუსის შეძენა და მოძველებული მუნიციპალური  ტრანსპორტის რეაბილიტაცია. 118 ავტობუსი მოწოდებულია.</t>
  </si>
  <si>
    <t xml:space="preserve">საქართველოსა და სომხეთის რესპუბლიკის სახელმწიფო საზღვრის სადახლო - ბაგრატაშენის სასაზღვრო გამტარ პუნქტებზე ახალი ხიდის მშენებლობა  (დეტალური პროექტირების სამუშაოები დასრულდა, მიმდინარეობს სამშენებლო სამუშაოების დაწყებისთვის საჭირო პროცედურები). </t>
  </si>
  <si>
    <t>2021  წლის  31  მარტის  მდგომარეობით (ათას ერთეულში)</t>
  </si>
  <si>
    <t>საცხოვრებლად ვარგისი ქალაქების საინვესტიციო პროგრამა 
(I ფაზა) (ADB)</t>
  </si>
  <si>
    <t>31.12.2024</t>
  </si>
  <si>
    <t>თელავის წყალმომარაგებისა და სანიტარული სექტორის განვითარება</t>
  </si>
  <si>
    <t>07.08.2020</t>
  </si>
  <si>
    <t>15.07.2028</t>
  </si>
  <si>
    <t>31.07.2020</t>
  </si>
  <si>
    <t>30.06.2025</t>
  </si>
  <si>
    <t xml:space="preserve"> - სამტრედია - გრიგოლეთის მონაკვეთზე (დაახლოებით 50 კმ) ახალი ოთხზოლიანი ავტომაგისტრალის მშენებლობა (სამშენებლო სამუშაოები მიმდინარეობს I და IV ლოტის ფარგლებში;  ლოტი 2-ზე დასრულდა სამშენებლო სამუშაოები და გახსნილია მოძრაობა;  ლოტი III - მიმდინარეობს წინასაკვალიფიკაციო ეტაპზე წარმოდგენილი წინადადებების შეფასება);
-   ლოტი I კონტრაქტორ ორგანიზაციასთან შეწყდა ხელშეკრულება და  დარჩენილ სამუშაოებზე ხელშეკრულება გაფორმდა   2018 წლის 13 ნოემბერს. სამუშაოების დასრულება იგეგმება 2021 წელს;
- ლოტი II  ხელშეკრულება გაფორმდა  2015 წლის 13 ნოემბერს. (სამუშაოები დასრულდა, გახსნილია მოძრაობა)   
- ლოტი IV  ხელშეკრულება გაფორმდა 2014 წლის 24 დეკემბერს.  სამუშაოების დასრულება იგეგმება 2021 წელს;
 - ფოთი-გრიგოლეთის მონაკვეთი (დეტალური პროექტის მომზადების სამუშაოები დასრულდა).</t>
  </si>
  <si>
    <t>თბილისი-წითელი ხიდის (აზერბაიჯანის რესპუბლიკის საზღვარი) საავტომობილო გზის კმ22-კმ57 რუსთავი-წითელი ხიდის მონაკვეთის მშენებლობა   (დაგეგმილი)</t>
  </si>
  <si>
    <t>ალგეთი-სადახლოს საავტომობილო გზის მშენებლობა-მოდერნიზაცია   (დაგეგმილი)</t>
  </si>
  <si>
    <t>თბილისი-სენაკი-ლესელიძის საავტომობილო გზის ხევი უბისას მონაკვეთის რეკონსტრუქცია - მშენებლობა (მიმდინარეობს სამშენებლო სამუშაოები)</t>
  </si>
  <si>
    <t>მდინარე რიონზე ფოთის ხიდისა  და მისასვლელი გზების მშენებლობის ტენდერი ჩაიშალა. მიმდინარეობს სატენდერო დოკუმენტაციის შეთანხმება დონორთან ტენდერის ხელახლა გამოცხადების მიზნით.</t>
  </si>
  <si>
    <r>
      <t xml:space="preserve"> - მერძევეობის პროდუქციის წარმოება/გადამუშავება/რეალიზაციის ჯაჭვის (Value Chain) განვითარება და ამ სექტორში ინოვაციების ხელშეწყობა. ინსტიტუციონალური და ორგანიზაციული განვითარება; პროგრამა განხორციელდება სამ  რეგიონში: იმერ</t>
    </r>
    <r>
      <rPr>
        <sz val="12"/>
        <color theme="1"/>
        <rFont val="Franklin Gothic Book"/>
        <family val="2"/>
        <scheme val="minor"/>
      </rPr>
      <t>ეთში, სამეგრელო-ზემო სვანეთში და სამცხე ჯავახეთში.
მერძევეობის ღირებულებათა ჯაჭვის განვითარება:
-  თანამონაწილეობაზე დაფუძნებული გრანტით დაფინანსდა 88 რძის პირველადი მწარმოებელი (მათ შორის 12 ქალი) და რძის შემგროვებელი/გადამამუშავებელი საწარმო.</t>
    </r>
    <r>
      <rPr>
        <sz val="12"/>
        <rFont val="Franklin Gothic Book"/>
        <family val="2"/>
        <scheme val="minor"/>
      </rPr>
      <t xml:space="preserve">
- </t>
    </r>
    <r>
      <rPr>
        <sz val="12"/>
        <color theme="1"/>
        <rFont val="Franklin Gothic Book"/>
        <family val="2"/>
        <scheme val="minor"/>
      </rPr>
      <t xml:space="preserve"> შეირჩა და ხელშეკრულება გაფორმდა სერვისის მომწოდებელთან, რომელიც კახეთისა და ქვემო ქართლის რეგიონში, მოაწყობს სადემონსტრაციო ნაკვეთებს/ფერმებს (სილოსის წარმოება, ცხოველთა ჰიგიენა, ხელოვნური განაყოფიერება, რძის ხარისხის გაუმჯობესება და სხვა), ჩაატარებს სწავლებებს სხვადასხვა მიმართულებებით. 
</t>
    </r>
  </si>
  <si>
    <t>წყალმომარაგებისა და წყალარინების სისტემების რეაბილიტაცია ქალაქ ხაშურში. 2 არსებული სათავე ნაგებობის  და მასთან დაკავშირებული სატუმბი სადგურების რეაბილიტაცია, გადამცემი ხაზებისა და სადისტრიბუციო ქსელების რეაბილიტაცია,  საკანალიზაციო ქსელის, მათ შორის კონექტორების, რეკონსტრუქცია და გაფართოება. ძველი წყალარინების გამწმენდი ნაგებობის დემონტაჟი და ახლის აშენება.</t>
  </si>
  <si>
    <t>პროექტი ითვალისწინებს საქართველოს ოთხ მუნიციპალიტეტში, კერძოდ, ბაღდათში, ვანში, სამტრედიასა და ყაზბეგში ახალი კომუნალური ინფრასტრუქტურის მშენებლობასა და რეაბილიტაციას.  (პროექტის ტექნიკურ-ეკონომიკური დასაბუთება მიმდინარეობს, ხოლო  სამუშაოებზე  გამოცხადებულია ტენდერი ყაზბეგის მუნიციპალიტეტში).</t>
  </si>
  <si>
    <r>
      <t xml:space="preserve"> - ზემო ოსიაური - ჩუმათელეთის მონაკვეთზე (დაახლოებით 14.1 კმ) ავტომაგისტრალის მშენებლობა (ლოტი I და ლოტი II)  (I ლოტზე სამშენებლო სამუშაოები დასრულდა) ( II  ლოტზე ხელშეკრულება შეწყდა,  საიდანაც  1.9 კმ მონაკვეთზე (კმ-5+800-კმ7+700) ხელშეკრულება გაფორმდა I </t>
    </r>
    <r>
      <rPr>
        <sz val="12"/>
        <color theme="1"/>
        <rFont val="Franklin Gothic Book"/>
        <family val="2"/>
        <scheme val="minor"/>
      </rPr>
      <t>ლოტის კონტრაქტორთან.  კმ0-კმ7.7-ის მონაკვეთზე სამუშაოები დასრულდა და მოძრაობა გახსნილია.  II ლოტის დარჩენილ მონაკვეთზე (კმ7.7-კმ14.06) სატენდერო წინადადებები გაიხსნა 2020 წლის  1 აპრილს. წარმოდგენილი წინადადებების შეფასების შედეგად გამოვლინდა ტენდერში გამარჯვებული კომპანია, რომელთანაც ხელშეკრულება გაფორმდა 2020 წლის 16 დეკემბერს. მიმდინარეობს მოსამზადებელი და სამობილიზაციო სამუშაოები.</t>
    </r>
    <r>
      <rPr>
        <sz val="12"/>
        <rFont val="Franklin Gothic Book"/>
        <family val="2"/>
        <scheme val="minor"/>
      </rPr>
      <t xml:space="preserve">
 - საავტომობილო გზების დეპარტამენტის ინსტიტუციონალური განვითარება (მიმდინარე);
 - საქართველოს ეკონომიკისა და მდგრადი განვითარების სამინისტროსათვის ტექნიკური დახმარების გაწევა ლოგისტიკური ცენტრების იდენტიფიკაციის მიზნით ტექნიკურ-ეკონომიკური კვლევის მომზადებასთან დაკავშირებით (დასრულდა);
 - საგზაო ქსელის განვითარების მიზნით მომავალი საინვესტიციო პროექტების დეტალური პროექტებისა და ტექნიკურ-ეკონომიკური დასაბუთების მომზადება (მიმდინარე).</t>
    </r>
  </si>
  <si>
    <t xml:space="preserve">  - გურიის რეგიონში შიდასახელმწიფოებრივი გზების მონაკვეთების რეაბილიტაცია (გამოცხადდა ტენდერი 7 მონაკვეთის სარეაბილიტაციო სამუშაოებზე, მიმდინარეობს შერჩევა-შეფასება);
 - მცხეთა-მთიანეთში, რაჭა-ლეჩხუმსა და შიდა ქართლის რეგიონებში შერჩეული შიდასახელმწიფოებრივი გზების მონაკვეთების რეაბილიტაცია  პროექტირება-მშენებლობის პირობებით (სარეაბილიტაციო სამუშაოები დასრულდა ორ მონაკვეთზე; ხელშეკრულება შეწყდა ჟინვალი-ბარისახოს მონაკვეთის I და II ლოტზე.  ხელახლა გამოცხადებულ ტენდერებში გამარჯვებული კომპანიები გამოვლენილია, ხელშეკრულებები გაფორმებულია ორივე ლოტზე (მიმდინარეობს სამუშაოები).
 - სამშენებლო კონტრაქტების მონიტორინგი და ზედამხედველობა (4 საგზაო მონაკვეთის სარეაბილიტაციო სამუშაოების ზედამხედველობა - მიმდინარეობს).</t>
  </si>
  <si>
    <t>ბათუმი (ანგისა) - ახალციხის  შიდასახელმწიფოებრივი გზის ხულო-ზარზმას მონაკვეთის რეაბილიტაცია - რეკონსტრუქციის ხელშეკრულებები შეწყდა.  გაფორმდა ხელშეკრულებები (ლოტი I და ლოტი II) ხელახლა გამოცხადებულ ტენდერში გამარჯვებულ კომპანიასთან (მიმდინარეობს სამობილიზაციო და მოსამზადებელი სამუშაოები).</t>
  </si>
  <si>
    <r>
      <t xml:space="preserve"> - ზუგდიდი - მესტიის გზის რეაბილიტაცია (დასრულდა);
 - ანაკლიის ნაპირდაცვა- I  ფაზა (დასრულდა);
- თბილისში მეტროსადგური "უნივერსიტე</t>
    </r>
    <r>
      <rPr>
        <sz val="12"/>
        <color theme="1"/>
        <rFont val="Franklin Gothic Book"/>
        <family val="2"/>
        <scheme val="minor"/>
      </rPr>
      <t>ტი" მშენებლობა (დასრულდა). 
 - თბილისი - რუსთავის ავტომაგისტრალის მშენებლობა I-II  მონაკვეთი (დასრულდა);
- თბილისი - რუსთავის ავტომაგისტრალის მშენებლობა II  მონაკვეთი (დასრულდა  - მიმდარეობს დეფექტების აღმოფხვრის პერიოდი);</t>
    </r>
    <r>
      <rPr>
        <sz val="12"/>
        <rFont val="Franklin Gothic Book"/>
        <family val="2"/>
        <scheme val="minor"/>
      </rPr>
      <t xml:space="preserve">
 - ანაკლიის ნაპირდაცვა-  II ფაზა (დასრულდა);
 - ქალაქ ბათუმში ნაპირდაცვის სამუშაოები </t>
    </r>
    <r>
      <rPr>
        <sz val="12"/>
        <color theme="1"/>
        <rFont val="Franklin Gothic Book"/>
        <family val="2"/>
        <scheme val="minor"/>
      </rPr>
      <t>(დასრულდა  - მიმდარეობს დეფექტების აღმოფხვრის პერიოდი);
- თბილისის მეტროს რეაბილიტაცია  (მეტროს ელექტროგაყვანილობის და სავენტილაციო სისტემის გამოცვლა) (დასრულდა  - მიმდარეობს დეფექტების აღმოფხვრის პერიოდი).</t>
    </r>
  </si>
  <si>
    <r>
      <t>საჯარო შენობებში  ენერგოეფექტურობის  ღონისძიებების განხორციელება (ადმინისტრაციულ და ს</t>
    </r>
    <r>
      <rPr>
        <sz val="12"/>
        <color theme="1"/>
        <rFont val="Franklin Gothic Book"/>
        <family val="2"/>
        <scheme val="minor"/>
      </rPr>
      <t>აგანმანათლებლო შენობებში განახლებადი და ალტერნატიული ენერგიის წყაროების დანერგვა)  (მიმდინარეობს  სამუშაოები</t>
    </r>
    <r>
      <rPr>
        <sz val="12"/>
        <rFont val="Franklin Gothic Book"/>
        <family val="2"/>
        <scheme val="minor"/>
      </rPr>
      <t>).</t>
    </r>
  </si>
  <si>
    <r>
      <t xml:space="preserve">
- მესტიაში წყალმომარაგების სათავე ნაგებობის მშენებლობა (დასრულდა); 
- მესტიის წყალმომარაგებისა და კანალიზაციის ქსელების მშენებლობა - რეაბილიტაცია (დასრულდა, </t>
    </r>
    <r>
      <rPr>
        <sz val="12"/>
        <color theme="1"/>
        <rFont val="Franklin Gothic Book"/>
        <family val="2"/>
        <scheme val="minor"/>
      </rPr>
      <t xml:space="preserve">მიმდინარეობს მოვლა შენახვის პროცედურები); </t>
    </r>
    <r>
      <rPr>
        <sz val="12"/>
        <rFont val="Franklin Gothic Book"/>
        <family val="2"/>
        <scheme val="minor"/>
      </rPr>
      <t xml:space="preserve">
- მესტიის წყლის გამწმენდი ნაგებობის, ახალი რეზერვუარების მშენებლობა და არსებული რეზერვუარის რეაბილიტაცია (მშენებლობა დასრულდა; ჩაინიშნა საბოლოო ტესტირების დღე); 
- მესტიის წყალარინების გამწმენდი ნაგებობის პროექტირება-მშენებლობა რეაბილიტაცია (მიმდინარეობას საპროექტო სამუშაოები);
 - ანაკლიაში წყალმომარაგების სათავე ნაგებობის მშენებლობა, წყალმომარაგებისა და კანალიზაციის ქსელების მშენებლობა- რეაბილიტაცია (დასრულდა); 
- ანაკლიის კანალიზა</t>
    </r>
    <r>
      <rPr>
        <sz val="12"/>
        <color theme="1"/>
        <rFont val="Franklin Gothic Book"/>
        <family val="2"/>
        <scheme val="minor"/>
      </rPr>
      <t>ციის გამწმენდი ნაგებობის მშენებლობა (მიმდინარეობს მოვლა-შენახვის პროცედურები);
- ქუთაისში წყალმომარაგების სისტემების (რეზერვუარები, სატუმბი სადგურები, წყლის გამანაწილებელი ქსელი) მშენებლობა- რეაბილიტაცია  (დასრულებულია სამშენებლო ნაწილი. მიმდინარეობს მომზადება დავების საბჭოსთვის)</t>
    </r>
    <r>
      <rPr>
        <sz val="12"/>
        <rFont val="Franklin Gothic Book"/>
        <family val="2"/>
        <scheme val="minor"/>
      </rPr>
      <t xml:space="preserve">
- ფოთში წყალმომარაგების სისტემების მშენებლობა - რეაბილიტაცია (დასრულებულია); 
- ფოთში წყალარინების სისტემის რეაბილიტაცია (მიმდინარეობს სამშენებლო სამუშაოები, მიმდინარეობს მომზადება დავების საბჭოსთვის); 
- ფოთში წყალარინების გამწმენდი ნაგებობის მშენებლობა (მიმდინარეობს სამშენებლო სამუშაოები);
- ურეკში წყალმომარაგებისა და კანალიზაციის სისტემების მშენებლობა (დასრულდა; მიმდინარეობს საგარანტიო პერიოდი);
- ურეკში კანალიზაციის გამწმენდი ნაგებობის მშენებლობა (დასრულდა; მიმდინარეობს ტესტირების პროცესები მიმდინარეობს მოლაპარაკებები კონტრაქტორთან შესაბამისი ექსპერტების ჩამოსაყვანად);
- ზუგდიდში წყალმომარაგების სისტემის მშენებლობა-რეაბილიტაცია (დასრულდა; მიმდინარეობს მიღება-ჩაბარების პროცედურები);
- ზუგდიდში კანალიზაციის სისტემის მშენებლობა-რეაბილიტაცია (დასრ</t>
    </r>
    <r>
      <rPr>
        <sz val="12"/>
        <color theme="1"/>
        <rFont val="Franklin Gothic Book"/>
        <family val="2"/>
        <scheme val="minor"/>
      </rPr>
      <t>ულდა; მიმდინარეობს საგარანტიო 1 წელი</t>
    </r>
    <r>
      <rPr>
        <sz val="12"/>
        <rFont val="Franklin Gothic Book"/>
        <family val="2"/>
        <scheme val="minor"/>
      </rPr>
      <t>);
- ზუგდიდში კანალიზაციის გამწმენდი ნაგებობის</t>
    </r>
    <r>
      <rPr>
        <sz val="12"/>
        <color theme="1"/>
        <rFont val="Franklin Gothic Book"/>
        <family val="2"/>
        <scheme val="minor"/>
      </rPr>
      <t xml:space="preserve"> მშენებლობა (სამშენებლო სამუშაოები დასრულდა, მიმდინარეობს მზადება ტესტირებისთვის);
- ჯვარის წყალმომარაგების სისტემის მშენებლობა (განიხილება კონტრაქტის სავარაუდო შეწყვეტა);
- ჭიათურაში წყალმომარაგების სისტემის მშენებლობა (დასრულდა სექცია 1, მიმდინარეობს დეფექტების აღმოფხვრის პერიოდი. სექცია 2ის სამუშაოები მიმდინარეობს);
- მარნეულში წყლისა და წყალარინების სისტემების მშენებლობა, ბოლნისის წყალარინების სისტემისა და კოლექტორის მშენებლობა  (მიმდინარეობს სამშენებლო სამუშაოები);</t>
    </r>
    <r>
      <rPr>
        <sz val="12"/>
        <rFont val="Franklin Gothic Book"/>
        <family val="2"/>
        <scheme val="minor"/>
      </rPr>
      <t xml:space="preserve">
- მარნეულის წყალარინების გამწმენდი ნაგებობის პროექტირება-მშენებლობა (მიმდინარეობს საპროექტო სამუშაოები  და დაიწყო მობილიზაცია);
- აბაშის მაგისტრალური ხაზის მშენებლობა (მიმდინარეობს სამშენებლო სამუშაოები);
- თელავის წყალმომარაგების სისტემის მშენებლობა (მიმდინარეობს სატენდერო დოკუმენტაციის მომზადება);
- გუდაურის წყლისა და წყალარინების სისტემების მშენებლობა (მიმდინარეობს სამშენებლო სამუშაოები); 
- გუდაურის წყალარინების გამწმენდი ნაგებობების მშენებლობა (მიმდინარეობს საპროექტო სამუშაოები).
</t>
    </r>
  </si>
  <si>
    <r>
      <t>წყალტუბოსა და თელავში საკანალიზაციო სისტემების გამწმენდი ნაგებობების მ</t>
    </r>
    <r>
      <rPr>
        <sz val="12"/>
        <color theme="1"/>
        <rFont val="Franklin Gothic Book"/>
        <family val="2"/>
        <scheme val="minor"/>
      </rPr>
      <t>შენებლობა (დასრულდა - მიმდინარეობს დეფექტების აღმოფხვრის პერიოდი).</t>
    </r>
  </si>
  <si>
    <t>პროექტი ითვალისწინებს აჭარის ავტონომიური რესპუბლიკის ხულოს, ქედას და შუახევის, ხელვაჩაურის და ქობულეთის მუნიციპალიტეტების სოფლებში წყალმომარაგებისა და წყალარინების სისტემების რეაბილიტაციას. (ამ ეტაპზე მიმდინარეობს აჭარის დაბებისა და სოფლების წყლისა და წყალარინების პროექტების შესწავლა-დამუშავება. ასევე, აჭარის დაბებსა და სოფლებში წყალმომარაგებისა და წყალარინების სისტემების სამშენებლო სამუშაოების განხორციელების მიზნით გამოცხადდა საერთაშორისო ტენდერი).</t>
  </si>
  <si>
    <r>
      <t xml:space="preserve"> </t>
    </r>
    <r>
      <rPr>
        <sz val="12"/>
        <color theme="1"/>
        <rFont val="Franklin Gothic Book"/>
        <family val="2"/>
        <scheme val="minor"/>
      </rPr>
      <t>სკოლამდელ განათლებაზე წვდომის გაფართოება და  განათლებისა და სასწავლო გარემოს ხარისხის გაუმჯობესება. (უმაღლესი განათლების სისტემის დაფინანსების მოდელის გაუმჯობესებისთვის გამოცხადებული  ტენდერის ფარგლებში, გამოვლინდა გამარჯვებული კომპანია და წარმატებით დასრულდა სახელშეკრულებო მოლაპარაკებები; სამუშაო დასრულდება 2021 წლის ოქტომბრის თვეში. მიმდინარეობს შემდგომი ნაბიჯების დაგეგმვა, რომელიც გულისხმობს დაფინანსების ახალი მოდელის ეფექტური ადმინისტრირების მიზნით, შესაბაისი ელექტრონული მართვის სისტემის შექმნას; მიმდინარეობს ზოგადი და სკოლამდელი განათლების სისტემური შეფასების (დიაგნოსტიკის) მიზნით გამოცხადებული საერთაშორისო ტენდერის ფარგლებში წარმოდგენილი განცხადებების შეფასება. ტენდერში გამარჯვებულ კომპანიასთან ხელშეკრულება გაფორმდება 2021 წლის მაისში, 8/11 თვის ვადით.</t>
    </r>
    <r>
      <rPr>
        <sz val="12"/>
        <rFont val="Franklin Gothic Book"/>
        <family val="2"/>
        <scheme val="minor"/>
      </rPr>
      <t xml:space="preserve"> )</t>
    </r>
  </si>
  <si>
    <r>
      <t>საგ</t>
    </r>
    <r>
      <rPr>
        <sz val="12"/>
        <color theme="1"/>
        <rFont val="Franklin Gothic Book"/>
        <family val="2"/>
        <scheme val="minor"/>
      </rPr>
      <t>ანმანათლებლო ინფრასტრუქტურის გაუმჯობესება სწავლის მხარდასაჭერად ( მიმდინარეობდა 31 სკოლის რეაბილიტაციისათვის საპროექტო სამუშაოებზე ტენდერში შემოსული პრეტენდენტების წინადადებების შეფასება;  მომზადდა სამშენებლო საზედამხედველო ორგანიზაციის შერჩევისთვის საჭირო ტექნიკური დავალება, რომელიც თანხმდება დონორთან.
მიღებულია თანხმობა 29 სკოლის რეაბილიტაციის საპროექტო სამუშაოების ინტერესის გამოხატვაზე (ტენდერზე) და ტექნიკური დავალება თანხმდება დონორთან</t>
    </r>
    <r>
      <rPr>
        <sz val="12"/>
        <rFont val="Franklin Gothic Book"/>
        <family val="2"/>
        <scheme val="minor"/>
      </rPr>
      <t>).</t>
    </r>
  </si>
  <si>
    <r>
      <t xml:space="preserve">  </t>
    </r>
    <r>
      <rPr>
        <sz val="12"/>
        <color theme="1"/>
        <rFont val="Franklin Gothic Book"/>
        <family val="2"/>
        <scheme val="minor"/>
      </rPr>
      <t>- საქართველოს სხვადასხვა ქალაქსა და სოფელში ინოვაციური ჰაბებისა და ცენტრების ქსელის განვითარება; (პროექტის მხარდაჭერით აღიჭურვა და გაიხსნა ტექნო-პარკი და ინოვაციების ცენტრი თბილისში, კასპში, ბათუმში, თელავში, ახმეტაში, გურჯაანში და რუხში. ამის გარდა პროექტი აქტიურად თანამშრომლობს ზუგდიდის ტექნო-პარკთან, რომელიც აგრეთვე ჩართული ცენტრების სამუშაო ქსელში.)</t>
    </r>
    <r>
      <rPr>
        <sz val="12"/>
        <rFont val="Franklin Gothic Book"/>
        <family val="2"/>
        <scheme val="minor"/>
      </rPr>
      <t xml:space="preserve">
 - საქართველოს რეგიონებში მცირე და საშუალო ზომის საწარმოების/საოჯახო მეურნეობების მიერ ფართომასშტაბიანი ინტერნეტ მომსახურებისა და საინფორმაციო ტექნოლოგიების ადაპტაციისა და გამოყენების მხარდაჭერა; </t>
    </r>
    <r>
      <rPr>
        <sz val="12"/>
        <color theme="1"/>
        <rFont val="Franklin Gothic Book"/>
        <family val="2"/>
        <scheme val="minor"/>
      </rPr>
      <t>(„ინტერნეტი განვითარებისთვის“ პროგრამის ფარგლებში, ფართოზოლოვან ინტერნეტში ჩართვის მიზნით მაღალმთიან დასახლებებში მცხოვრები სოციალურად დაუცველი ოჯახებისთვის (რომელთა სარეიტინგო ქულაც 100,000-ს არ აღემატება) გაიცა 1581 ვაუჩერი, საიდანაც ინტერნეტში ჩაერთო 1380 ოჯახი. გარდა ამისა, თუშეთში, მოხდა 29 მიკრო, მცირე და საშუალო მეწარმის ფართოზოლოვან ინტერნეტთან მიერთება);
 - ინდივიდუალური პირებისა და ფირმების ინოვაციური შესაძლებლობების განვითარება.(„ინტერნეტი განვითარებისთვის“ პროგრამის ფარგლებში, ჩატარდა ცნობიერების ასამაღლებელი ტრენინგები ქვეყნის რეგიონებში, რომელსაც დაესწრო 406 მეწარმე და 577 ინდივიდუალური პირი. გარდა ამისა, 187 მეწარმეს გაეწია ინდივიდუალური კონსულტაცია ელ-კომერციაში, ხოლო 834-მა მეწარმემ გაირა ტრენინგი ელ-წიგნიერებაში (რომელიც მოიცავდა ელ-ბიზნესს, ელ-კომერციას და ელ-მმართველობას), საიდანაც 512-მა მეწარმემ შეძლო თავისი ბიზნესის გაციფრულება (განათავსა თავისი ბიზნესი / პროდუქტი მინიმუმ 1 პოპულარულ ონლაინ პლატფორმაზე). ამასთანავე 100-ზე მეტ მეწარმეს შეექმნა საკუთარი ვებ-გვერდები ელ-კომერციის ფუნქციონალით).</t>
    </r>
  </si>
  <si>
    <r>
      <t>შოთა რუსთაველის ეროვნ</t>
    </r>
    <r>
      <rPr>
        <sz val="12"/>
        <color theme="1"/>
        <rFont val="Franklin Gothic Book"/>
        <family val="2"/>
        <scheme val="minor"/>
      </rPr>
      <t>ული სამეცნიერო ფონდის მეშვეობით შერჩეული მეცნიერებისთვის გამოყენებითი კვლევითი გრანტების უზრუნველყოფა; (შოთა რუსთაველის ეროვნული სამეცნიერო ფონდის დახმარებით  ჩატარებულ იქნა კონკურსი, რომელშიც შევიდა 80 განაცხადი. პროექტები შეფასდა დამოუკიდებელი საერთაშორისო ექსპერტების მიერ.    
შეფასების ორი ეტაპის საფუძველზე დასაფინანსებლად შეირჩა 36 პროექტი (ინჟინერია და ტექნოლოგიები, მედიცინა, საბუნებისმეტყველო და აგრარული მეცნიერება), გაკეთებულია 8 საპატენტო განაცხადი;   შექმნილია 8 პროტოტიპი, 2 მაკეტი/მოდელი, 3 ტექნოლოგიური სქემა; გამოქვეყნებულია 5 პუბლიკაცია; ჩატარდა 13 ღონისძიება  (ტრენიგი/ ვორქშოპი/ კონფერენცია); კვლევის შედეგების პრეზენტაცია გატანილია 5 საერთაშორისო ღონისძიებაზე; ბიზნესის განვითარება ან ბიზნესთან გამოკვეთილი თანამშრომლობა გამოვლინდა 13 პროექტის შემთხვევაში).</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</si>
</sst>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dd\.mm\.yyyy"/>
    <numFmt numFmtId="166" formatCode="#,##0.00000"/>
    <numFmt numFmtId="167" formatCode="#,##0.000000000000"/>
  </numFmts>
  <fonts count="22">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SPLiteraturuly"/>
    </font>
    <font>
      <sz val="12"/>
      <color theme="1"/>
      <name val="Franklin Gothic Book"/>
      <family val="2"/>
      <scheme val="minor"/>
    </font>
    <font>
      <sz val="12"/>
      <name val="Franklin Gothic Book"/>
      <family val="2"/>
      <scheme val="minor"/>
    </font>
    <font>
      <sz val="14"/>
      <name val="Franklin Gothic Book"/>
      <family val="2"/>
      <scheme val="minor"/>
    </font>
    <font>
      <sz val="14"/>
      <color theme="0"/>
      <name val="Franklin Gothic Book"/>
      <family val="2"/>
      <scheme val="minor"/>
    </font>
    <font>
      <b/>
      <sz val="14"/>
      <name val="Franklin Gothic Book"/>
      <family val="2"/>
      <scheme val="minor"/>
    </font>
    <font>
      <b/>
      <sz val="12"/>
      <name val="Franklin Gothic Book"/>
      <family val="2"/>
      <scheme val="minor"/>
    </font>
    <font>
      <sz val="12"/>
      <color rgb="FFFF0000"/>
      <name val="Franklin Gothic Book"/>
      <family val="2"/>
      <scheme val="minor"/>
    </font>
    <font>
      <sz val="12"/>
      <name val="Arial"/>
      <family val="2"/>
      <charset val="204"/>
    </font>
    <font>
      <b/>
      <sz val="14"/>
      <color theme="1"/>
      <name val="Franklin Gothic Book"/>
      <family val="2"/>
      <scheme val="minor"/>
    </font>
    <font>
      <sz val="14"/>
      <color theme="1"/>
      <name val="Franklin Gothic Book"/>
      <family val="2"/>
      <scheme val="minor"/>
    </font>
    <font>
      <sz val="12"/>
      <name val="Franklin Gothic Book"/>
      <family val="1"/>
      <scheme val="minor"/>
    </font>
    <font>
      <b/>
      <sz val="12"/>
      <color theme="1"/>
      <name val="Franklin Gothic Book"/>
      <family val="2"/>
      <scheme val="minor"/>
    </font>
    <font>
      <sz val="11"/>
      <name val="Franklin Gothic Book"/>
      <family val="2"/>
      <scheme val="minor"/>
    </font>
    <font>
      <b/>
      <sz val="12"/>
      <color theme="1"/>
      <name val="Calibri"/>
      <family val="2"/>
    </font>
    <font>
      <sz val="14"/>
      <color rgb="FFFF0000"/>
      <name val="Franklin Gothic Book"/>
      <family val="2"/>
      <scheme val="minor"/>
    </font>
    <font>
      <sz val="1"/>
      <name val="Franklin Gothic Book"/>
      <family val="2"/>
      <scheme val="minor"/>
    </font>
    <font>
      <sz val="18"/>
      <name val="Franklin Gothic Book"/>
      <family val="2"/>
      <scheme val="minor"/>
    </font>
  </fonts>
  <fills count="6">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theme="4" tint="0.59996337778862885"/>
        <bgColor indexed="64"/>
      </patternFill>
    </fill>
    <fill>
      <patternFill patternType="solid">
        <fgColor rgb="FFCCFFCC"/>
        <bgColor indexed="64"/>
      </patternFill>
    </fill>
  </fills>
  <borders count="5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dotted">
        <color theme="0" tint="-0.499984740745262"/>
      </left>
      <right style="dotted">
        <color theme="0" tint="-0.499984740745262"/>
      </right>
      <top style="medium">
        <color indexed="64"/>
      </top>
      <bottom style="dotted">
        <color theme="0" tint="-0.499984740745262"/>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style="medium">
        <color indexed="64"/>
      </bottom>
      <diagonal/>
    </border>
    <border>
      <left style="medium">
        <color indexed="64"/>
      </left>
      <right style="dotted">
        <color theme="0" tint="-0.499984740745262"/>
      </right>
      <top style="medium">
        <color indexed="64"/>
      </top>
      <bottom style="dotted">
        <color theme="0" tint="-0.499984740745262"/>
      </bottom>
      <diagonal/>
    </border>
    <border>
      <left style="dotted">
        <color theme="0" tint="-0.499984740745262"/>
      </left>
      <right style="medium">
        <color indexed="64"/>
      </right>
      <top style="medium">
        <color indexed="64"/>
      </top>
      <bottom style="dotted">
        <color theme="0" tint="-0.499984740745262"/>
      </bottom>
      <diagonal/>
    </border>
    <border>
      <left style="medium">
        <color indexed="64"/>
      </left>
      <right style="dotted">
        <color theme="0" tint="-0.499984740745262"/>
      </right>
      <top style="dotted">
        <color theme="0" tint="-0.499984740745262"/>
      </top>
      <bottom style="dotted">
        <color theme="0" tint="-0.499984740745262"/>
      </bottom>
      <diagonal/>
    </border>
    <border>
      <left style="dotted">
        <color theme="0" tint="-0.499984740745262"/>
      </left>
      <right style="medium">
        <color indexed="64"/>
      </right>
      <top style="dotted">
        <color theme="0" tint="-0.499984740745262"/>
      </top>
      <bottom style="dotted">
        <color theme="0" tint="-0.499984740745262"/>
      </bottom>
      <diagonal/>
    </border>
    <border>
      <left style="medium">
        <color indexed="64"/>
      </left>
      <right style="dotted">
        <color theme="0" tint="-0.499984740745262"/>
      </right>
      <top style="dotted">
        <color theme="0" tint="-0.499984740745262"/>
      </top>
      <bottom style="medium">
        <color indexed="64"/>
      </bottom>
      <diagonal/>
    </border>
    <border>
      <left style="dotted">
        <color theme="0" tint="-0.499984740745262"/>
      </left>
      <right style="medium">
        <color indexed="64"/>
      </right>
      <top style="dotted">
        <color theme="0" tint="-0.499984740745262"/>
      </top>
      <bottom style="medium">
        <color indexed="64"/>
      </bottom>
      <diagonal/>
    </border>
    <border>
      <left style="medium">
        <color indexed="64"/>
      </left>
      <right style="dotted">
        <color theme="1" tint="4.9989318521683403E-2"/>
      </right>
      <top style="medium">
        <color indexed="64"/>
      </top>
      <bottom style="dotted">
        <color theme="1" tint="4.9989318521683403E-2"/>
      </bottom>
      <diagonal/>
    </border>
    <border>
      <left style="dotted">
        <color theme="1" tint="4.9989318521683403E-2"/>
      </left>
      <right style="dotted">
        <color theme="1" tint="4.9989318521683403E-2"/>
      </right>
      <top style="medium">
        <color indexed="64"/>
      </top>
      <bottom style="dotted">
        <color theme="1" tint="4.9989318521683403E-2"/>
      </bottom>
      <diagonal/>
    </border>
    <border>
      <left style="dotted">
        <color theme="1" tint="4.9989318521683403E-2"/>
      </left>
      <right style="medium">
        <color indexed="64"/>
      </right>
      <top style="medium">
        <color indexed="64"/>
      </top>
      <bottom style="dotted">
        <color theme="1" tint="4.9989318521683403E-2"/>
      </bottom>
      <diagonal/>
    </border>
    <border>
      <left style="medium">
        <color indexed="64"/>
      </left>
      <right style="dotted">
        <color theme="1" tint="4.9989318521683403E-2"/>
      </right>
      <top style="dotted">
        <color theme="1" tint="4.9989318521683403E-2"/>
      </top>
      <bottom style="dotted">
        <color theme="1" tint="4.9989318521683403E-2"/>
      </bottom>
      <diagonal/>
    </border>
    <border>
      <left style="dotted">
        <color theme="1" tint="4.9989318521683403E-2"/>
      </left>
      <right style="dotted">
        <color theme="1" tint="4.9989318521683403E-2"/>
      </right>
      <top style="dotted">
        <color theme="1" tint="4.9989318521683403E-2"/>
      </top>
      <bottom style="dotted">
        <color theme="1" tint="4.9989318521683403E-2"/>
      </bottom>
      <diagonal/>
    </border>
    <border>
      <left style="dotted">
        <color theme="1" tint="4.9989318521683403E-2"/>
      </left>
      <right style="medium">
        <color indexed="64"/>
      </right>
      <top style="dotted">
        <color theme="1" tint="4.9989318521683403E-2"/>
      </top>
      <bottom style="dotted">
        <color theme="1" tint="4.9989318521683403E-2"/>
      </bottom>
      <diagonal/>
    </border>
    <border>
      <left style="medium">
        <color indexed="64"/>
      </left>
      <right style="dotted">
        <color theme="1" tint="4.9989318521683403E-2"/>
      </right>
      <top style="dotted">
        <color theme="1" tint="4.9989318521683403E-2"/>
      </top>
      <bottom style="medium">
        <color indexed="64"/>
      </bottom>
      <diagonal/>
    </border>
    <border>
      <left style="dotted">
        <color theme="1" tint="4.9989318521683403E-2"/>
      </left>
      <right style="dotted">
        <color theme="1" tint="4.9989318521683403E-2"/>
      </right>
      <top style="dotted">
        <color theme="1" tint="4.9989318521683403E-2"/>
      </top>
      <bottom style="medium">
        <color indexed="64"/>
      </bottom>
      <diagonal/>
    </border>
    <border>
      <left style="dotted">
        <color theme="1" tint="4.9989318521683403E-2"/>
      </left>
      <right style="medium">
        <color indexed="64"/>
      </right>
      <top style="dotted">
        <color theme="1" tint="4.9989318521683403E-2"/>
      </top>
      <bottom style="medium">
        <color indexed="64"/>
      </bottom>
      <diagonal/>
    </border>
    <border>
      <left style="dotted">
        <color theme="0" tint="-0.499984740745262"/>
      </left>
      <right style="medium">
        <color indexed="64"/>
      </right>
      <top style="dotted">
        <color theme="0" tint="-0.499984740745262"/>
      </top>
      <bottom/>
      <diagonal/>
    </border>
    <border>
      <left style="dotted">
        <color theme="0" tint="-0.499984740745262"/>
      </left>
      <right style="medium">
        <color indexed="64"/>
      </right>
      <top/>
      <bottom style="dotted">
        <color theme="0" tint="-0.499984740745262"/>
      </bottom>
      <diagonal/>
    </border>
    <border>
      <left style="dotted">
        <color theme="0" tint="-0.499984740745262"/>
      </left>
      <right style="medium">
        <color indexed="64"/>
      </right>
      <top style="medium">
        <color indexed="64"/>
      </top>
      <bottom/>
      <diagonal/>
    </border>
    <border>
      <left style="dotted">
        <color theme="0" tint="-0.499984740745262"/>
      </left>
      <right style="dotted">
        <color theme="0" tint="-0.499984740745262"/>
      </right>
      <top style="dotted">
        <color theme="0" tint="-0.499984740745262"/>
      </top>
      <bottom/>
      <diagonal/>
    </border>
    <border>
      <left style="dotted">
        <color theme="0" tint="-0.499984740745262"/>
      </left>
      <right style="dotted">
        <color theme="0" tint="-0.499984740745262"/>
      </right>
      <top/>
      <bottom/>
      <diagonal/>
    </border>
    <border>
      <left style="dotted">
        <color theme="0" tint="-0.499984740745262"/>
      </left>
      <right style="dotted">
        <color theme="0" tint="-0.499984740745262"/>
      </right>
      <top/>
      <bottom style="dotted">
        <color theme="0" tint="-0.499984740745262"/>
      </bottom>
      <diagonal/>
    </border>
    <border>
      <left style="medium">
        <color indexed="64"/>
      </left>
      <right style="dotted">
        <color theme="0" tint="-0.499984740745262"/>
      </right>
      <top style="dotted">
        <color theme="0" tint="-0.499984740745262"/>
      </top>
      <bottom/>
      <diagonal/>
    </border>
    <border>
      <left style="medium">
        <color indexed="64"/>
      </left>
      <right style="dotted">
        <color theme="0" tint="-0.499984740745262"/>
      </right>
      <top/>
      <bottom style="dotted">
        <color theme="0" tint="-0.499984740745262"/>
      </bottom>
      <diagonal/>
    </border>
    <border>
      <left style="dotted">
        <color theme="1" tint="4.9989318521683403E-2"/>
      </left>
      <right style="dotted">
        <color theme="1" tint="4.9989318521683403E-2"/>
      </right>
      <top style="dotted">
        <color theme="1" tint="4.9989318521683403E-2"/>
      </top>
      <bottom/>
      <diagonal/>
    </border>
    <border>
      <left style="dotted">
        <color theme="1" tint="4.9989318521683403E-2"/>
      </left>
      <right style="dotted">
        <color theme="1" tint="4.9989318521683403E-2"/>
      </right>
      <top/>
      <bottom style="dotted">
        <color theme="1" tint="4.9989318521683403E-2"/>
      </bottom>
      <diagonal/>
    </border>
    <border>
      <left style="dotted">
        <color theme="0" tint="-0.499984740745262"/>
      </left>
      <right style="dotted">
        <color theme="0" tint="-0.499984740745262"/>
      </right>
      <top/>
      <bottom style="medium">
        <color indexed="64"/>
      </bottom>
      <diagonal/>
    </border>
    <border>
      <left style="dotted">
        <color theme="0" tint="-0.499984740745262"/>
      </left>
      <right/>
      <top style="dotted">
        <color theme="0" tint="-0.499984740745262"/>
      </top>
      <bottom style="dotted">
        <color theme="0" tint="-0.499984740745262"/>
      </bottom>
      <diagonal/>
    </border>
    <border>
      <left style="medium">
        <color indexed="64"/>
      </left>
      <right style="dotted">
        <color theme="0" tint="-0.499984740745262"/>
      </right>
      <top/>
      <bottom style="medium">
        <color indexed="64"/>
      </bottom>
      <diagonal/>
    </border>
    <border>
      <left style="medium">
        <color indexed="64"/>
      </left>
      <right style="dotted">
        <color theme="0" tint="-0.499984740745262"/>
      </right>
      <top style="dotted">
        <color theme="0" tint="-0.499984740745262"/>
      </top>
      <bottom style="dotted">
        <color indexed="64"/>
      </bottom>
      <diagonal/>
    </border>
    <border>
      <left style="dotted">
        <color theme="0" tint="-0.499984740745262"/>
      </left>
      <right style="dotted">
        <color theme="0" tint="-0.499984740745262"/>
      </right>
      <top style="dotted">
        <color theme="0" tint="-0.499984740745262"/>
      </top>
      <bottom style="dotted">
        <color indexed="64"/>
      </bottom>
      <diagonal/>
    </border>
    <border>
      <left style="dotted">
        <color theme="0" tint="-0.499984740745262"/>
      </left>
      <right style="medium">
        <color indexed="64"/>
      </right>
      <top style="dotted">
        <color theme="0" tint="-0.499984740745262"/>
      </top>
      <bottom style="dotted">
        <color indexed="64"/>
      </bottom>
      <diagonal/>
    </border>
    <border>
      <left style="dotted">
        <color theme="0" tint="-0.499984740745262"/>
      </left>
      <right style="dotted">
        <color theme="0" tint="-0.499984740745262"/>
      </right>
      <top style="medium">
        <color indexed="64"/>
      </top>
      <bottom/>
      <diagonal/>
    </border>
    <border>
      <left style="medium">
        <color indexed="64"/>
      </left>
      <right style="dotted">
        <color theme="0" tint="-0.499984740745262"/>
      </right>
      <top style="dotted">
        <color theme="0" tint="-0.499984740745262"/>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tted">
        <color theme="0" tint="-0.499984740745262"/>
      </left>
      <right style="dotted">
        <color theme="0" tint="-0.499984740745262"/>
      </right>
      <top style="dotted">
        <color theme="0" tint="-0.499984740745262"/>
      </top>
      <bottom style="dashed">
        <color indexed="64"/>
      </bottom>
      <diagonal/>
    </border>
    <border>
      <left style="medium">
        <color indexed="64"/>
      </left>
      <right style="dotted">
        <color theme="1" tint="4.9989318521683403E-2"/>
      </right>
      <top style="dotted">
        <color theme="1" tint="4.9989318521683403E-2"/>
      </top>
      <bottom/>
      <diagonal/>
    </border>
    <border>
      <left style="medium">
        <color indexed="64"/>
      </left>
      <right style="dotted">
        <color theme="1" tint="4.9989318521683403E-2"/>
      </right>
      <top/>
      <bottom style="dotted">
        <color theme="1" tint="4.9989318521683403E-2"/>
      </bottom>
      <diagonal/>
    </border>
    <border>
      <left style="dotted">
        <color theme="0" tint="-0.499984740745262"/>
      </left>
      <right style="medium">
        <color indexed="64"/>
      </right>
      <top/>
      <bottom/>
      <diagonal/>
    </border>
  </borders>
  <cellStyleXfs count="16">
    <xf numFmtId="0" fontId="0" fillId="0" borderId="0"/>
    <xf numFmtId="0" fontId="2"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3" fillId="0" borderId="0"/>
    <xf numFmtId="0" fontId="1" fillId="0" borderId="0"/>
    <xf numFmtId="0" fontId="1" fillId="0" borderId="0"/>
    <xf numFmtId="9"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1" fillId="0" borderId="0" applyFont="0" applyFill="0" applyBorder="0" applyAlignment="0" applyProtection="0"/>
  </cellStyleXfs>
  <cellXfs count="254">
    <xf numFmtId="0" fontId="0" fillId="0" borderId="0" xfId="0"/>
    <xf numFmtId="0" fontId="6" fillId="0" borderId="0" xfId="1" applyFont="1" applyFill="1" applyBorder="1" applyAlignment="1">
      <alignment vertical="center"/>
    </xf>
    <xf numFmtId="0" fontId="6" fillId="0" borderId="0" xfId="1" applyFont="1" applyFill="1" applyBorder="1" applyAlignment="1">
      <alignment vertical="center" wrapText="1"/>
    </xf>
    <xf numFmtId="0" fontId="6" fillId="0" borderId="0" xfId="1" applyFont="1" applyFill="1" applyBorder="1" applyAlignment="1">
      <alignment horizontal="left" vertical="center"/>
    </xf>
    <xf numFmtId="0" fontId="5" fillId="0" borderId="0" xfId="1" applyFont="1" applyFill="1" applyBorder="1" applyAlignment="1">
      <alignment vertical="center"/>
    </xf>
    <xf numFmtId="0" fontId="5" fillId="0" borderId="0" xfId="1" applyFont="1" applyFill="1" applyBorder="1" applyAlignment="1">
      <alignment vertical="center" wrapText="1"/>
    </xf>
    <xf numFmtId="0" fontId="7" fillId="0" borderId="0" xfId="1" applyFont="1" applyFill="1" applyBorder="1" applyAlignment="1">
      <alignment vertical="center"/>
    </xf>
    <xf numFmtId="0" fontId="8" fillId="0" borderId="0" xfId="1" applyFont="1" applyFill="1" applyBorder="1" applyAlignment="1">
      <alignment vertical="center"/>
    </xf>
    <xf numFmtId="164" fontId="9" fillId="0" borderId="0" xfId="1" applyNumberFormat="1" applyFont="1" applyFill="1" applyBorder="1" applyAlignment="1">
      <alignment vertical="center"/>
    </xf>
    <xf numFmtId="0" fontId="11" fillId="0" borderId="0" xfId="1" applyFont="1" applyFill="1" applyBorder="1" applyAlignment="1">
      <alignment vertical="center"/>
    </xf>
    <xf numFmtId="166" fontId="7" fillId="0" borderId="0" xfId="1" applyNumberFormat="1" applyFont="1" applyFill="1" applyBorder="1" applyAlignment="1">
      <alignment vertical="center"/>
    </xf>
    <xf numFmtId="164" fontId="8" fillId="0" borderId="0" xfId="1" applyNumberFormat="1" applyFont="1" applyFill="1" applyBorder="1" applyAlignment="1">
      <alignment vertical="center"/>
    </xf>
    <xf numFmtId="49" fontId="10" fillId="0" borderId="0" xfId="1" applyNumberFormat="1" applyFont="1" applyFill="1" applyBorder="1" applyAlignment="1" applyProtection="1">
      <alignment horizontal="left" vertical="center" wrapText="1" readingOrder="1"/>
      <protection locked="0"/>
    </xf>
    <xf numFmtId="0" fontId="6" fillId="0" borderId="0" xfId="1" applyFont="1" applyFill="1" applyBorder="1" applyAlignment="1">
      <alignment vertical="center"/>
    </xf>
    <xf numFmtId="164" fontId="6" fillId="0" borderId="0" xfId="1" applyNumberFormat="1" applyFont="1" applyFill="1" applyBorder="1" applyAlignment="1">
      <alignment vertical="center"/>
    </xf>
    <xf numFmtId="0" fontId="6" fillId="0" borderId="0" xfId="1" applyFont="1" applyFill="1" applyBorder="1" applyAlignment="1">
      <alignment vertical="center" wrapText="1"/>
    </xf>
    <xf numFmtId="49" fontId="6" fillId="0" borderId="0" xfId="1" applyNumberFormat="1" applyFont="1" applyFill="1" applyBorder="1" applyAlignment="1">
      <alignment vertical="center"/>
    </xf>
    <xf numFmtId="0" fontId="10" fillId="0" borderId="0" xfId="1" applyFont="1" applyFill="1" applyBorder="1" applyAlignment="1" applyProtection="1">
      <alignment horizontal="left" vertical="center" wrapText="1"/>
      <protection locked="0"/>
    </xf>
    <xf numFmtId="0" fontId="10" fillId="0" borderId="0" xfId="1" applyFont="1" applyFill="1" applyBorder="1" applyAlignment="1" applyProtection="1">
      <alignment horizontal="left" vertical="center" wrapText="1" readingOrder="1"/>
      <protection locked="0"/>
    </xf>
    <xf numFmtId="0" fontId="13" fillId="0" borderId="0" xfId="1" applyFont="1" applyFill="1" applyBorder="1" applyAlignment="1">
      <alignment vertical="center"/>
    </xf>
    <xf numFmtId="0" fontId="13" fillId="0" borderId="0" xfId="1" applyFont="1" applyFill="1" applyBorder="1" applyAlignment="1">
      <alignment vertical="center" wrapText="1"/>
    </xf>
    <xf numFmtId="15" fontId="5" fillId="0" borderId="0" xfId="1" applyNumberFormat="1" applyFont="1" applyFill="1" applyBorder="1" applyAlignment="1">
      <alignment vertical="center" wrapText="1"/>
    </xf>
    <xf numFmtId="15" fontId="5" fillId="0" borderId="0" xfId="1" applyNumberFormat="1" applyFont="1" applyFill="1" applyBorder="1" applyAlignment="1">
      <alignment vertical="center"/>
    </xf>
    <xf numFmtId="0" fontId="5" fillId="3" borderId="0" xfId="1" applyFont="1" applyFill="1" applyBorder="1" applyAlignment="1">
      <alignment vertical="center" wrapText="1"/>
    </xf>
    <xf numFmtId="0" fontId="14" fillId="3" borderId="0" xfId="1" applyNumberFormat="1" applyFont="1" applyFill="1" applyBorder="1" applyAlignment="1">
      <alignment horizontal="center" vertical="center" wrapText="1"/>
    </xf>
    <xf numFmtId="0" fontId="5" fillId="3" borderId="0" xfId="11" applyNumberFormat="1" applyFont="1" applyFill="1" applyBorder="1" applyAlignment="1">
      <alignment horizontal="center" vertical="center" wrapText="1"/>
    </xf>
    <xf numFmtId="164" fontId="13" fillId="4" borderId="4" xfId="1" applyNumberFormat="1" applyFont="1" applyFill="1" applyBorder="1" applyAlignment="1">
      <alignment horizontal="center" vertical="center"/>
    </xf>
    <xf numFmtId="164" fontId="14" fillId="4" borderId="3" xfId="1" applyNumberFormat="1" applyFont="1" applyFill="1" applyBorder="1" applyAlignment="1">
      <alignment horizontal="center" vertical="center"/>
    </xf>
    <xf numFmtId="49" fontId="6" fillId="0" borderId="20" xfId="1" applyNumberFormat="1" applyFont="1" applyFill="1" applyBorder="1" applyAlignment="1">
      <alignment horizontal="left" vertical="center" wrapText="1"/>
    </xf>
    <xf numFmtId="164" fontId="6" fillId="0" borderId="22" xfId="1" applyNumberFormat="1" applyFont="1" applyFill="1" applyBorder="1" applyAlignment="1">
      <alignment horizontal="center" vertical="center"/>
    </xf>
    <xf numFmtId="164" fontId="6" fillId="0" borderId="14" xfId="1" applyNumberFormat="1" applyFont="1" applyFill="1" applyBorder="1" applyAlignment="1">
      <alignment horizontal="center" vertical="center"/>
    </xf>
    <xf numFmtId="15" fontId="6" fillId="0" borderId="0" xfId="1" applyNumberFormat="1" applyFont="1" applyFill="1" applyBorder="1" applyAlignment="1">
      <alignment vertical="center"/>
    </xf>
    <xf numFmtId="0" fontId="7" fillId="3" borderId="0" xfId="1" applyNumberFormat="1" applyFont="1" applyFill="1" applyBorder="1" applyAlignment="1">
      <alignment horizontal="center" vertical="center" wrapText="1"/>
    </xf>
    <xf numFmtId="164" fontId="9" fillId="4" borderId="4" xfId="1" applyNumberFormat="1" applyFont="1" applyFill="1" applyBorder="1" applyAlignment="1">
      <alignment horizontal="center" vertical="center"/>
    </xf>
    <xf numFmtId="164" fontId="9" fillId="3" borderId="4" xfId="1" applyNumberFormat="1" applyFont="1" applyFill="1" applyBorder="1" applyAlignment="1">
      <alignment horizontal="center" vertical="center"/>
    </xf>
    <xf numFmtId="164" fontId="6" fillId="0" borderId="28" xfId="1" applyNumberFormat="1" applyFont="1" applyFill="1" applyBorder="1" applyAlignment="1">
      <alignment horizontal="center" vertical="center"/>
    </xf>
    <xf numFmtId="164" fontId="5" fillId="0" borderId="0" xfId="1" applyNumberFormat="1" applyFont="1" applyFill="1" applyBorder="1" applyAlignment="1">
      <alignment vertical="center"/>
    </xf>
    <xf numFmtId="0" fontId="6" fillId="0" borderId="17" xfId="1" applyFont="1" applyFill="1" applyBorder="1" applyAlignment="1">
      <alignment vertical="center" wrapText="1"/>
    </xf>
    <xf numFmtId="49" fontId="9" fillId="0" borderId="0" xfId="1" applyNumberFormat="1" applyFont="1" applyFill="1" applyBorder="1" applyAlignment="1">
      <alignment vertical="center"/>
    </xf>
    <xf numFmtId="49" fontId="6" fillId="3" borderId="11" xfId="11" applyNumberFormat="1" applyFont="1" applyFill="1" applyBorder="1" applyAlignment="1">
      <alignment horizontal="center" vertical="center" wrapText="1"/>
    </xf>
    <xf numFmtId="49" fontId="9" fillId="4" borderId="2" xfId="1" applyNumberFormat="1" applyFont="1" applyFill="1" applyBorder="1" applyAlignment="1">
      <alignment horizontal="center" vertical="center"/>
    </xf>
    <xf numFmtId="49" fontId="9" fillId="3" borderId="2" xfId="1" applyNumberFormat="1" applyFont="1" applyFill="1" applyBorder="1" applyAlignment="1">
      <alignment horizontal="center" vertical="center"/>
    </xf>
    <xf numFmtId="49" fontId="6" fillId="0" borderId="23" xfId="1" applyNumberFormat="1" applyFont="1" applyFill="1" applyBorder="1" applyAlignment="1">
      <alignment horizontal="left" vertical="center" wrapText="1"/>
    </xf>
    <xf numFmtId="49" fontId="6" fillId="0" borderId="29" xfId="1" applyNumberFormat="1" applyFont="1" applyFill="1" applyBorder="1" applyAlignment="1">
      <alignment horizontal="left" vertical="center" wrapText="1"/>
    </xf>
    <xf numFmtId="49" fontId="6" fillId="0" borderId="16" xfId="1" applyNumberFormat="1" applyFont="1" applyFill="1" applyBorder="1" applyAlignment="1">
      <alignment horizontal="left" vertical="center" wrapText="1"/>
    </xf>
    <xf numFmtId="49" fontId="6" fillId="2" borderId="20" xfId="1" applyNumberFormat="1" applyFont="1" applyFill="1" applyBorder="1" applyAlignment="1">
      <alignment horizontal="left" vertical="center" wrapText="1"/>
    </xf>
    <xf numFmtId="0" fontId="9" fillId="0" borderId="0" xfId="1" applyFont="1" applyFill="1" applyBorder="1" applyAlignment="1">
      <alignment vertical="center"/>
    </xf>
    <xf numFmtId="15" fontId="6" fillId="2" borderId="0" xfId="1" applyNumberFormat="1" applyFont="1" applyFill="1" applyBorder="1" applyAlignment="1">
      <alignment vertical="center"/>
    </xf>
    <xf numFmtId="0" fontId="6" fillId="3" borderId="1" xfId="1" applyFont="1" applyFill="1" applyBorder="1" applyAlignment="1">
      <alignment horizontal="center" vertical="center"/>
    </xf>
    <xf numFmtId="0" fontId="6" fillId="0" borderId="19" xfId="1" applyFont="1" applyFill="1" applyBorder="1" applyAlignment="1">
      <alignment vertical="center" wrapText="1"/>
    </xf>
    <xf numFmtId="0" fontId="6" fillId="0" borderId="27" xfId="1" applyFont="1" applyFill="1" applyBorder="1" applyAlignment="1">
      <alignment horizontal="left" vertical="center" wrapText="1"/>
    </xf>
    <xf numFmtId="0" fontId="6" fillId="0" borderId="19" xfId="1" applyFont="1" applyFill="1" applyBorder="1" applyAlignment="1">
      <alignment horizontal="left" vertical="center" wrapText="1"/>
    </xf>
    <xf numFmtId="0" fontId="6" fillId="0" borderId="17" xfId="4" applyFont="1" applyFill="1" applyBorder="1" applyAlignment="1">
      <alignment horizontal="left" vertical="center" wrapText="1"/>
    </xf>
    <xf numFmtId="0" fontId="6" fillId="0" borderId="36" xfId="4" applyFont="1" applyFill="1" applyBorder="1" applyAlignment="1">
      <alignment horizontal="left" vertical="center" wrapText="1"/>
    </xf>
    <xf numFmtId="167" fontId="6" fillId="0" borderId="0" xfId="1" applyNumberFormat="1" applyFont="1" applyFill="1" applyBorder="1" applyAlignment="1">
      <alignment vertical="center"/>
    </xf>
    <xf numFmtId="165" fontId="6" fillId="0" borderId="25" xfId="1" applyNumberFormat="1" applyFont="1" applyFill="1" applyBorder="1" applyAlignment="1">
      <alignment horizontal="center" vertical="center" wrapText="1"/>
    </xf>
    <xf numFmtId="165" fontId="6" fillId="2" borderId="25" xfId="1" applyNumberFormat="1" applyFont="1" applyFill="1" applyBorder="1" applyAlignment="1">
      <alignment horizontal="center" vertical="center" wrapText="1"/>
    </xf>
    <xf numFmtId="164" fontId="6" fillId="0" borderId="25" xfId="1" applyNumberFormat="1" applyFont="1" applyFill="1" applyBorder="1" applyAlignment="1">
      <alignment horizontal="center" vertical="center" wrapText="1"/>
    </xf>
    <xf numFmtId="165" fontId="6" fillId="2" borderId="12" xfId="1" applyNumberFormat="1" applyFont="1" applyFill="1" applyBorder="1" applyAlignment="1">
      <alignment horizontal="center" vertical="center"/>
    </xf>
    <xf numFmtId="0" fontId="6" fillId="0" borderId="21" xfId="1" applyFont="1" applyFill="1" applyBorder="1" applyAlignment="1">
      <alignment horizontal="left" vertical="center" wrapText="1"/>
    </xf>
    <xf numFmtId="49" fontId="6" fillId="2" borderId="18" xfId="1" applyNumberFormat="1" applyFont="1" applyFill="1" applyBorder="1" applyAlignment="1">
      <alignment horizontal="left" vertical="center" wrapText="1"/>
    </xf>
    <xf numFmtId="0" fontId="7" fillId="3" borderId="0" xfId="1" applyFont="1" applyFill="1" applyBorder="1" applyAlignment="1">
      <alignment horizontal="center" vertical="center" wrapText="1"/>
    </xf>
    <xf numFmtId="164" fontId="6" fillId="0" borderId="25" xfId="1" quotePrefix="1" applyNumberFormat="1" applyFont="1" applyFill="1" applyBorder="1" applyAlignment="1">
      <alignment horizontal="center" vertical="center"/>
    </xf>
    <xf numFmtId="0" fontId="10" fillId="0" borderId="0" xfId="1" applyFont="1" applyFill="1" applyBorder="1" applyAlignment="1">
      <alignment vertical="center"/>
    </xf>
    <xf numFmtId="43" fontId="10" fillId="0" borderId="13" xfId="15" applyFont="1" applyFill="1" applyBorder="1" applyAlignment="1">
      <alignment horizontal="center" vertical="center"/>
    </xf>
    <xf numFmtId="165" fontId="6" fillId="2" borderId="35" xfId="1" applyNumberFormat="1" applyFont="1" applyFill="1" applyBorder="1" applyAlignment="1">
      <alignment horizontal="center" vertical="center" wrapText="1"/>
    </xf>
    <xf numFmtId="164" fontId="6" fillId="2" borderId="35" xfId="1" applyNumberFormat="1" applyFont="1" applyFill="1" applyBorder="1" applyAlignment="1">
      <alignment horizontal="center" vertical="center"/>
    </xf>
    <xf numFmtId="49" fontId="6" fillId="2" borderId="31" xfId="1" applyNumberFormat="1" applyFont="1" applyFill="1" applyBorder="1" applyAlignment="1">
      <alignment horizontal="left" vertical="center" wrapText="1"/>
    </xf>
    <xf numFmtId="164" fontId="5" fillId="0" borderId="0" xfId="1" applyNumberFormat="1" applyFont="1" applyFill="1" applyBorder="1" applyAlignment="1">
      <alignment horizontal="center" vertical="center" wrapText="1"/>
    </xf>
    <xf numFmtId="164" fontId="5" fillId="0" borderId="41" xfId="1" applyNumberFormat="1" applyFont="1" applyFill="1" applyBorder="1" applyAlignment="1">
      <alignment horizontal="center" vertical="center"/>
    </xf>
    <xf numFmtId="49" fontId="6" fillId="0" borderId="0" xfId="1" applyNumberFormat="1" applyFont="1" applyFill="1" applyBorder="1" applyAlignment="1">
      <alignment horizontal="left" vertical="center" wrapText="1"/>
    </xf>
    <xf numFmtId="165" fontId="6" fillId="0" borderId="35" xfId="1" applyNumberFormat="1" applyFont="1" applyFill="1" applyBorder="1" applyAlignment="1">
      <alignment horizontal="center" vertical="center"/>
    </xf>
    <xf numFmtId="0" fontId="19" fillId="0" borderId="0" xfId="1" applyFont="1" applyFill="1" applyBorder="1" applyAlignment="1">
      <alignment vertical="center"/>
    </xf>
    <xf numFmtId="165" fontId="6" fillId="0" borderId="14" xfId="1" applyNumberFormat="1" applyFont="1" applyFill="1" applyBorder="1" applyAlignment="1">
      <alignment horizontal="center" vertical="center" wrapText="1"/>
    </xf>
    <xf numFmtId="164" fontId="6" fillId="2" borderId="14" xfId="1" applyNumberFormat="1" applyFont="1" applyFill="1" applyBorder="1" applyAlignment="1">
      <alignment horizontal="center" vertical="center"/>
    </xf>
    <xf numFmtId="164" fontId="6" fillId="0" borderId="14" xfId="1" applyNumberFormat="1" applyFont="1" applyFill="1" applyBorder="1" applyAlignment="1">
      <alignment horizontal="center" vertical="center" wrapText="1"/>
    </xf>
    <xf numFmtId="164" fontId="6" fillId="0" borderId="35" xfId="1" applyNumberFormat="1" applyFont="1" applyFill="1" applyBorder="1" applyAlignment="1">
      <alignment horizontal="center" vertical="center" wrapText="1"/>
    </xf>
    <xf numFmtId="43" fontId="6" fillId="0" borderId="33" xfId="15" applyFont="1" applyFill="1" applyBorder="1" applyAlignment="1">
      <alignment horizontal="center" vertical="center"/>
    </xf>
    <xf numFmtId="164" fontId="6" fillId="0" borderId="33" xfId="1" applyNumberFormat="1" applyFont="1" applyFill="1" applyBorder="1" applyAlignment="1">
      <alignment horizontal="center" vertical="center" wrapText="1"/>
    </xf>
    <xf numFmtId="43" fontId="6" fillId="0" borderId="13" xfId="15" applyFont="1" applyFill="1" applyBorder="1" applyAlignment="1">
      <alignment horizontal="center" vertical="center"/>
    </xf>
    <xf numFmtId="49" fontId="6" fillId="0" borderId="18" xfId="1" applyNumberFormat="1" applyFont="1" applyFill="1" applyBorder="1" applyAlignment="1">
      <alignment horizontal="left" vertical="top" wrapText="1"/>
    </xf>
    <xf numFmtId="164" fontId="6" fillId="0" borderId="33" xfId="1" applyNumberFormat="1" applyFont="1" applyFill="1" applyBorder="1" applyAlignment="1">
      <alignment horizontal="center" vertical="center"/>
    </xf>
    <xf numFmtId="164" fontId="6" fillId="0" borderId="35" xfId="1" applyNumberFormat="1" applyFont="1" applyFill="1" applyBorder="1" applyAlignment="1">
      <alignment horizontal="center" vertical="center"/>
    </xf>
    <xf numFmtId="165" fontId="6" fillId="0" borderId="33" xfId="1" applyNumberFormat="1" applyFont="1" applyFill="1" applyBorder="1" applyAlignment="1">
      <alignment horizontal="center" vertical="center" wrapText="1"/>
    </xf>
    <xf numFmtId="165" fontId="6" fillId="0" borderId="35" xfId="1" applyNumberFormat="1" applyFont="1" applyFill="1" applyBorder="1" applyAlignment="1">
      <alignment horizontal="center" vertical="center" wrapText="1"/>
    </xf>
    <xf numFmtId="164" fontId="6" fillId="0" borderId="12" xfId="1" applyNumberFormat="1" applyFont="1" applyFill="1" applyBorder="1" applyAlignment="1">
      <alignment horizontal="center" vertical="center"/>
    </xf>
    <xf numFmtId="164" fontId="6" fillId="0" borderId="13" xfId="1" applyNumberFormat="1" applyFont="1" applyFill="1" applyBorder="1" applyAlignment="1">
      <alignment horizontal="center" vertical="center"/>
    </xf>
    <xf numFmtId="164" fontId="6" fillId="2" borderId="13" xfId="1" applyNumberFormat="1" applyFont="1" applyFill="1" applyBorder="1" applyAlignment="1">
      <alignment horizontal="center" vertical="center"/>
    </xf>
    <xf numFmtId="164" fontId="6" fillId="2" borderId="12" xfId="1" applyNumberFormat="1" applyFont="1" applyFill="1" applyBorder="1" applyAlignment="1">
      <alignment horizontal="center" vertical="center"/>
    </xf>
    <xf numFmtId="49" fontId="6" fillId="0" borderId="31" xfId="1" applyNumberFormat="1" applyFont="1" applyFill="1" applyBorder="1" applyAlignment="1">
      <alignment horizontal="left" vertical="center" wrapText="1"/>
    </xf>
    <xf numFmtId="49" fontId="6" fillId="0" borderId="30" xfId="1" applyNumberFormat="1" applyFont="1" applyFill="1" applyBorder="1" applyAlignment="1">
      <alignment horizontal="left" vertical="center" wrapText="1"/>
    </xf>
    <xf numFmtId="165" fontId="6" fillId="0" borderId="13" xfId="1" applyNumberFormat="1" applyFont="1" applyFill="1" applyBorder="1" applyAlignment="1">
      <alignment horizontal="center" vertical="center" wrapText="1"/>
    </xf>
    <xf numFmtId="165" fontId="6" fillId="0" borderId="12" xfId="1" applyNumberFormat="1" applyFont="1" applyFill="1" applyBorder="1" applyAlignment="1">
      <alignment horizontal="center" vertical="center" wrapText="1"/>
    </xf>
    <xf numFmtId="164" fontId="6" fillId="0" borderId="44" xfId="1" applyNumberFormat="1" applyFont="1" applyFill="1" applyBorder="1" applyAlignment="1">
      <alignment horizontal="center" vertical="center"/>
    </xf>
    <xf numFmtId="49" fontId="6" fillId="0" borderId="26" xfId="1" applyNumberFormat="1" applyFont="1" applyFill="1" applyBorder="1" applyAlignment="1">
      <alignment horizontal="left" vertical="center" wrapText="1"/>
    </xf>
    <xf numFmtId="49" fontId="6" fillId="0" borderId="18" xfId="1" applyNumberFormat="1" applyFont="1" applyFill="1" applyBorder="1" applyAlignment="1">
      <alignment horizontal="left" vertical="center" wrapText="1"/>
    </xf>
    <xf numFmtId="164" fontId="6" fillId="0" borderId="25" xfId="1" applyNumberFormat="1" applyFont="1" applyFill="1" applyBorder="1" applyAlignment="1">
      <alignment horizontal="center" vertical="center"/>
    </xf>
    <xf numFmtId="164" fontId="6" fillId="0" borderId="25" xfId="1" applyNumberFormat="1" applyFont="1" applyFill="1" applyBorder="1" applyAlignment="1">
      <alignment horizontal="center" vertical="center"/>
    </xf>
    <xf numFmtId="164" fontId="6" fillId="0" borderId="13" xfId="1" applyNumberFormat="1" applyFont="1" applyFill="1" applyBorder="1" applyAlignment="1">
      <alignment horizontal="center" vertical="center"/>
    </xf>
    <xf numFmtId="164" fontId="6" fillId="0" borderId="12" xfId="1" applyNumberFormat="1" applyFont="1" applyFill="1" applyBorder="1" applyAlignment="1">
      <alignment horizontal="center" vertical="center"/>
    </xf>
    <xf numFmtId="164" fontId="6" fillId="0" borderId="33" xfId="1" applyNumberFormat="1" applyFont="1" applyFill="1" applyBorder="1" applyAlignment="1">
      <alignment horizontal="center" vertical="center"/>
    </xf>
    <xf numFmtId="164" fontId="6" fillId="0" borderId="35" xfId="1" applyNumberFormat="1" applyFont="1" applyFill="1" applyBorder="1" applyAlignment="1">
      <alignment horizontal="center" vertical="center"/>
    </xf>
    <xf numFmtId="164" fontId="6" fillId="0" borderId="13" xfId="1" applyNumberFormat="1" applyFont="1" applyFill="1" applyBorder="1" applyAlignment="1">
      <alignment horizontal="center" vertical="center" wrapText="1"/>
    </xf>
    <xf numFmtId="165" fontId="6" fillId="2" borderId="13" xfId="1" applyNumberFormat="1" applyFont="1" applyFill="1" applyBorder="1" applyAlignment="1">
      <alignment horizontal="center" vertical="center" wrapText="1"/>
    </xf>
    <xf numFmtId="164" fontId="7" fillId="3" borderId="3" xfId="1" applyNumberFormat="1" applyFont="1" applyFill="1" applyBorder="1" applyAlignment="1">
      <alignment horizontal="center" vertical="center"/>
    </xf>
    <xf numFmtId="165" fontId="6" fillId="0" borderId="22" xfId="1" applyNumberFormat="1" applyFont="1" applyFill="1" applyBorder="1" applyAlignment="1">
      <alignment horizontal="center" vertical="center" wrapText="1"/>
    </xf>
    <xf numFmtId="165" fontId="6" fillId="2" borderId="22" xfId="1" applyNumberFormat="1" applyFont="1" applyFill="1" applyBorder="1" applyAlignment="1">
      <alignment horizontal="center" vertical="center" wrapText="1"/>
    </xf>
    <xf numFmtId="164" fontId="6" fillId="0" borderId="22" xfId="1" applyNumberFormat="1" applyFont="1" applyFill="1" applyBorder="1" applyAlignment="1">
      <alignment horizontal="center" vertical="center" wrapText="1"/>
    </xf>
    <xf numFmtId="165" fontId="6" fillId="0" borderId="28" xfId="1" applyNumberFormat="1" applyFont="1" applyFill="1" applyBorder="1" applyAlignment="1">
      <alignment horizontal="center" vertical="center" wrapText="1"/>
    </xf>
    <xf numFmtId="164" fontId="6" fillId="5" borderId="28" xfId="1" applyNumberFormat="1" applyFont="1" applyFill="1" applyBorder="1" applyAlignment="1">
      <alignment horizontal="center" vertical="center" wrapText="1"/>
    </xf>
    <xf numFmtId="164" fontId="6" fillId="0" borderId="12" xfId="1" applyNumberFormat="1" applyFont="1" applyFill="1" applyBorder="1" applyAlignment="1">
      <alignment horizontal="center" vertical="center" wrapText="1"/>
    </xf>
    <xf numFmtId="165" fontId="6" fillId="2" borderId="12" xfId="1" applyNumberFormat="1" applyFont="1" applyFill="1" applyBorder="1" applyAlignment="1">
      <alignment horizontal="center" vertical="center" wrapText="1"/>
    </xf>
    <xf numFmtId="165" fontId="6" fillId="2" borderId="13" xfId="1" applyNumberFormat="1" applyFont="1" applyFill="1" applyBorder="1" applyAlignment="1">
      <alignment horizontal="center" vertical="center"/>
    </xf>
    <xf numFmtId="165" fontId="6" fillId="2" borderId="44" xfId="1" applyNumberFormat="1" applyFont="1" applyFill="1" applyBorder="1" applyAlignment="1">
      <alignment horizontal="center" vertical="center" wrapText="1"/>
    </xf>
    <xf numFmtId="165" fontId="6" fillId="2" borderId="44" xfId="1" applyNumberFormat="1" applyFont="1" applyFill="1" applyBorder="1" applyAlignment="1">
      <alignment horizontal="center" vertical="center"/>
    </xf>
    <xf numFmtId="164" fontId="6" fillId="0" borderId="44" xfId="1" applyNumberFormat="1" applyFont="1" applyFill="1" applyBorder="1" applyAlignment="1">
      <alignment horizontal="center" vertical="center" wrapText="1"/>
    </xf>
    <xf numFmtId="49" fontId="6" fillId="2" borderId="31" xfId="1" applyNumberFormat="1" applyFont="1" applyFill="1" applyBorder="1" applyAlignment="1">
      <alignment horizontal="left" vertical="top" wrapText="1"/>
    </xf>
    <xf numFmtId="164" fontId="7" fillId="0" borderId="3" xfId="1" applyNumberFormat="1" applyFont="1" applyFill="1" applyBorder="1" applyAlignment="1">
      <alignment horizontal="center" vertical="center"/>
    </xf>
    <xf numFmtId="49" fontId="6" fillId="2" borderId="16" xfId="1" applyNumberFormat="1" applyFont="1" applyFill="1" applyBorder="1" applyAlignment="1">
      <alignment horizontal="left" vertical="center" wrapText="1"/>
    </xf>
    <xf numFmtId="164" fontId="10" fillId="0" borderId="35" xfId="1" applyNumberFormat="1" applyFont="1" applyFill="1" applyBorder="1" applyAlignment="1">
      <alignment horizontal="center" vertical="center" wrapText="1"/>
    </xf>
    <xf numFmtId="49" fontId="6" fillId="0" borderId="18" xfId="1" applyNumberFormat="1" applyFont="1" applyFill="1" applyBorder="1" applyAlignment="1">
      <alignment vertical="center" wrapText="1"/>
    </xf>
    <xf numFmtId="164" fontId="9" fillId="0" borderId="0" xfId="1" applyNumberFormat="1" applyFont="1" applyFill="1" applyBorder="1" applyAlignment="1">
      <alignment horizontal="center" vertical="center" wrapText="1"/>
    </xf>
    <xf numFmtId="164" fontId="9" fillId="0" borderId="0" xfId="1" applyNumberFormat="1" applyFont="1" applyFill="1" applyBorder="1" applyAlignment="1">
      <alignment horizontal="center" vertical="center"/>
    </xf>
    <xf numFmtId="164" fontId="9" fillId="3" borderId="51" xfId="1" applyNumberFormat="1" applyFont="1" applyFill="1" applyBorder="1" applyAlignment="1">
      <alignment horizontal="center" vertical="center"/>
    </xf>
    <xf numFmtId="0" fontId="6" fillId="0" borderId="47" xfId="1" applyFont="1" applyFill="1" applyBorder="1" applyAlignment="1">
      <alignment horizontal="left" vertical="center" wrapText="1"/>
    </xf>
    <xf numFmtId="165" fontId="6" fillId="2" borderId="52" xfId="1" applyNumberFormat="1" applyFont="1" applyFill="1" applyBorder="1" applyAlignment="1">
      <alignment horizontal="center" vertical="center" wrapText="1"/>
    </xf>
    <xf numFmtId="164" fontId="6" fillId="2" borderId="52" xfId="1" applyNumberFormat="1" applyFont="1" applyFill="1" applyBorder="1" applyAlignment="1">
      <alignment horizontal="center" vertical="center"/>
    </xf>
    <xf numFmtId="164" fontId="6" fillId="0" borderId="52" xfId="1" applyNumberFormat="1" applyFont="1" applyFill="1" applyBorder="1" applyAlignment="1">
      <alignment horizontal="center" vertical="center"/>
    </xf>
    <xf numFmtId="164" fontId="6" fillId="0" borderId="33" xfId="1" applyNumberFormat="1" applyFont="1" applyFill="1" applyBorder="1" applyAlignment="1">
      <alignment horizontal="center" vertical="center"/>
    </xf>
    <xf numFmtId="164" fontId="6" fillId="0" borderId="25" xfId="1" applyNumberFormat="1" applyFont="1" applyFill="1" applyBorder="1" applyAlignment="1">
      <alignment horizontal="center" vertical="center"/>
    </xf>
    <xf numFmtId="164" fontId="6" fillId="0" borderId="13" xfId="1" applyNumberFormat="1" applyFont="1" applyFill="1" applyBorder="1" applyAlignment="1">
      <alignment horizontal="center" vertical="center"/>
    </xf>
    <xf numFmtId="49" fontId="6" fillId="0" borderId="26" xfId="1" applyNumberFormat="1" applyFont="1" applyFill="1" applyBorder="1" applyAlignment="1">
      <alignment horizontal="left" vertical="center" wrapText="1"/>
    </xf>
    <xf numFmtId="164" fontId="6" fillId="0" borderId="25" xfId="1" applyNumberFormat="1" applyFont="1" applyFill="1" applyBorder="1" applyAlignment="1">
      <alignment horizontal="center" vertical="center" wrapText="1"/>
    </xf>
    <xf numFmtId="164" fontId="6" fillId="0" borderId="33" xfId="1" applyNumberFormat="1" applyFont="1" applyFill="1" applyBorder="1" applyAlignment="1">
      <alignment horizontal="center" vertical="center"/>
    </xf>
    <xf numFmtId="164" fontId="6" fillId="0" borderId="35" xfId="1" applyNumberFormat="1" applyFont="1" applyFill="1" applyBorder="1" applyAlignment="1">
      <alignment horizontal="center" vertical="center"/>
    </xf>
    <xf numFmtId="165" fontId="6" fillId="0" borderId="33" xfId="1" applyNumberFormat="1" applyFont="1" applyFill="1" applyBorder="1" applyAlignment="1">
      <alignment horizontal="center" vertical="center" wrapText="1"/>
    </xf>
    <xf numFmtId="165" fontId="6" fillId="0" borderId="35" xfId="1" applyNumberFormat="1" applyFont="1" applyFill="1" applyBorder="1" applyAlignment="1">
      <alignment horizontal="center" vertical="center" wrapText="1"/>
    </xf>
    <xf numFmtId="49" fontId="6" fillId="0" borderId="31" xfId="1" applyNumberFormat="1" applyFont="1" applyFill="1" applyBorder="1" applyAlignment="1">
      <alignment horizontal="left" vertical="center" wrapText="1"/>
    </xf>
    <xf numFmtId="164" fontId="6" fillId="0" borderId="13" xfId="1" applyNumberFormat="1" applyFont="1" applyFill="1" applyBorder="1" applyAlignment="1">
      <alignment horizontal="center" vertical="center"/>
    </xf>
    <xf numFmtId="164" fontId="6" fillId="0" borderId="12" xfId="1" applyNumberFormat="1" applyFont="1" applyFill="1" applyBorder="1" applyAlignment="1">
      <alignment horizontal="center" vertical="center"/>
    </xf>
    <xf numFmtId="0" fontId="6" fillId="0" borderId="37" xfId="1" applyFont="1" applyFill="1" applyBorder="1" applyAlignment="1">
      <alignment horizontal="left" vertical="center" wrapText="1"/>
    </xf>
    <xf numFmtId="0" fontId="6" fillId="2" borderId="17" xfId="1" applyFont="1" applyFill="1" applyBorder="1" applyAlignment="1">
      <alignment vertical="center" wrapText="1"/>
    </xf>
    <xf numFmtId="164" fontId="6" fillId="2" borderId="13" xfId="1" applyNumberFormat="1" applyFont="1" applyFill="1" applyBorder="1" applyAlignment="1">
      <alignment horizontal="center" vertical="center"/>
    </xf>
    <xf numFmtId="0" fontId="6" fillId="0" borderId="24" xfId="1" applyFont="1" applyFill="1" applyBorder="1" applyAlignment="1">
      <alignment horizontal="left" vertical="center" wrapText="1"/>
    </xf>
    <xf numFmtId="164" fontId="6" fillId="0" borderId="25" xfId="1" applyNumberFormat="1" applyFont="1" applyFill="1" applyBorder="1" applyAlignment="1">
      <alignment horizontal="center" vertical="center"/>
    </xf>
    <xf numFmtId="164" fontId="6" fillId="0" borderId="13" xfId="1" applyNumberFormat="1" applyFont="1" applyFill="1" applyBorder="1" applyAlignment="1">
      <alignment horizontal="center" vertical="center" wrapText="1"/>
    </xf>
    <xf numFmtId="0" fontId="6" fillId="0" borderId="15" xfId="1" applyFont="1" applyFill="1" applyBorder="1" applyAlignment="1">
      <alignment horizontal="left" vertical="center" wrapText="1"/>
    </xf>
    <xf numFmtId="0" fontId="6" fillId="0" borderId="17" xfId="1" applyFont="1" applyFill="1" applyBorder="1" applyAlignment="1">
      <alignment horizontal="left" vertical="center" wrapText="1"/>
    </xf>
    <xf numFmtId="0" fontId="6" fillId="0" borderId="53" xfId="1" applyFont="1" applyFill="1" applyBorder="1" applyAlignment="1">
      <alignment vertical="center" wrapText="1"/>
    </xf>
    <xf numFmtId="164" fontId="6" fillId="0" borderId="33" xfId="1" applyNumberFormat="1" applyFont="1" applyFill="1" applyBorder="1" applyAlignment="1">
      <alignment horizontal="center" vertical="center"/>
    </xf>
    <xf numFmtId="3" fontId="10" fillId="0" borderId="0" xfId="1" applyNumberFormat="1" applyFont="1" applyFill="1" applyBorder="1" applyAlignment="1">
      <alignment horizontal="right" vertical="center"/>
    </xf>
    <xf numFmtId="164" fontId="5" fillId="0" borderId="13" xfId="1" applyNumberFormat="1" applyFont="1" applyFill="1" applyBorder="1" applyAlignment="1">
      <alignment horizontal="center" vertical="center"/>
    </xf>
    <xf numFmtId="49" fontId="6" fillId="0" borderId="55" xfId="1" applyNumberFormat="1" applyFont="1" applyFill="1" applyBorder="1" applyAlignment="1">
      <alignment horizontal="left" vertical="center" wrapText="1"/>
    </xf>
    <xf numFmtId="164" fontId="6" fillId="0" borderId="25" xfId="1" applyNumberFormat="1" applyFont="1" applyFill="1" applyBorder="1" applyAlignment="1">
      <alignment horizontal="center" vertical="center"/>
    </xf>
    <xf numFmtId="165" fontId="6" fillId="0" borderId="25" xfId="1" applyNumberFormat="1" applyFont="1" applyFill="1" applyBorder="1" applyAlignment="1">
      <alignment horizontal="center" vertical="center" wrapText="1"/>
    </xf>
    <xf numFmtId="164" fontId="6" fillId="0" borderId="25" xfId="1" applyNumberFormat="1" applyFont="1" applyFill="1" applyBorder="1" applyAlignment="1">
      <alignment horizontal="center" vertical="center"/>
    </xf>
    <xf numFmtId="165" fontId="6" fillId="0" borderId="39" xfId="1" applyNumberFormat="1" applyFont="1" applyFill="1" applyBorder="1" applyAlignment="1">
      <alignment vertical="center" wrapText="1"/>
    </xf>
    <xf numFmtId="165" fontId="6" fillId="2" borderId="39" xfId="1" applyNumberFormat="1" applyFont="1" applyFill="1" applyBorder="1" applyAlignment="1">
      <alignment vertical="center" wrapText="1"/>
    </xf>
    <xf numFmtId="164" fontId="6" fillId="0" borderId="39" xfId="1" applyNumberFormat="1" applyFont="1" applyFill="1" applyBorder="1" applyAlignment="1">
      <alignment vertical="center"/>
    </xf>
    <xf numFmtId="49" fontId="6" fillId="0" borderId="30" xfId="1" applyNumberFormat="1" applyFont="1" applyFill="1" applyBorder="1" applyAlignment="1">
      <alignment horizontal="left" vertical="center" wrapText="1"/>
    </xf>
    <xf numFmtId="49" fontId="5" fillId="0" borderId="30" xfId="1" applyNumberFormat="1" applyFont="1" applyFill="1" applyBorder="1" applyAlignment="1">
      <alignment horizontal="left" vertical="center" wrapText="1"/>
    </xf>
    <xf numFmtId="49" fontId="5" fillId="0" borderId="31" xfId="1" applyNumberFormat="1" applyFont="1" applyFill="1" applyBorder="1" applyAlignment="1">
      <alignment horizontal="left" vertical="center" wrapText="1"/>
    </xf>
    <xf numFmtId="164" fontId="6" fillId="2" borderId="46" xfId="1" applyNumberFormat="1" applyFont="1" applyFill="1" applyBorder="1" applyAlignment="1">
      <alignment horizontal="center" vertical="center"/>
    </xf>
    <xf numFmtId="164" fontId="6" fillId="2" borderId="35" xfId="1" applyNumberFormat="1" applyFont="1" applyFill="1" applyBorder="1" applyAlignment="1">
      <alignment horizontal="center" vertical="center"/>
    </xf>
    <xf numFmtId="165" fontId="6" fillId="0" borderId="33" xfId="1" applyNumberFormat="1" applyFont="1" applyFill="1" applyBorder="1" applyAlignment="1">
      <alignment horizontal="center" vertical="center" wrapText="1"/>
    </xf>
    <xf numFmtId="165" fontId="6" fillId="0" borderId="34" xfId="1" applyNumberFormat="1" applyFont="1" applyFill="1" applyBorder="1" applyAlignment="1">
      <alignment horizontal="center" vertical="center" wrapText="1"/>
    </xf>
    <xf numFmtId="164" fontId="21" fillId="0" borderId="12" xfId="1" applyNumberFormat="1" applyFont="1" applyFill="1" applyBorder="1" applyAlignment="1">
      <alignment horizontal="center" vertical="center"/>
    </xf>
    <xf numFmtId="164" fontId="21" fillId="0" borderId="13" xfId="1" applyNumberFormat="1" applyFont="1" applyFill="1" applyBorder="1" applyAlignment="1">
      <alignment horizontal="center" vertical="center"/>
    </xf>
    <xf numFmtId="0" fontId="6" fillId="0" borderId="0" xfId="1" applyFont="1" applyFill="1" applyBorder="1" applyAlignment="1">
      <alignment horizontal="left" vertical="center" wrapText="1"/>
    </xf>
    <xf numFmtId="0" fontId="6" fillId="0" borderId="17" xfId="1" applyFont="1" applyFill="1" applyBorder="1" applyAlignment="1">
      <alignment horizontal="left" vertical="center" wrapText="1"/>
    </xf>
    <xf numFmtId="0" fontId="9" fillId="3" borderId="1" xfId="1" applyFont="1" applyFill="1" applyBorder="1" applyAlignment="1">
      <alignment horizontal="left" vertical="center"/>
    </xf>
    <xf numFmtId="0" fontId="9" fillId="3" borderId="3" xfId="1" applyFont="1" applyFill="1" applyBorder="1" applyAlignment="1">
      <alignment horizontal="left" vertical="center"/>
    </xf>
    <xf numFmtId="0" fontId="9" fillId="3" borderId="2" xfId="1" applyFont="1" applyFill="1" applyBorder="1" applyAlignment="1">
      <alignment horizontal="left" vertical="center"/>
    </xf>
    <xf numFmtId="0" fontId="9" fillId="3" borderId="48" xfId="1" applyFont="1" applyFill="1" applyBorder="1" applyAlignment="1">
      <alignment horizontal="left" vertical="center"/>
    </xf>
    <xf numFmtId="0" fontId="9" fillId="3" borderId="49" xfId="1" applyFont="1" applyFill="1" applyBorder="1" applyAlignment="1">
      <alignment horizontal="left" vertical="center"/>
    </xf>
    <xf numFmtId="0" fontId="9" fillId="3" borderId="50" xfId="1" applyFont="1" applyFill="1" applyBorder="1" applyAlignment="1">
      <alignment horizontal="left" vertical="center"/>
    </xf>
    <xf numFmtId="0" fontId="6" fillId="0" borderId="36" xfId="1" applyFont="1" applyFill="1" applyBorder="1" applyAlignment="1">
      <alignment horizontal="center" vertical="center" wrapText="1"/>
    </xf>
    <xf numFmtId="0" fontId="6" fillId="0" borderId="42" xfId="1" applyFont="1" applyFill="1" applyBorder="1" applyAlignment="1">
      <alignment horizontal="center" vertical="center" wrapText="1"/>
    </xf>
    <xf numFmtId="165" fontId="6" fillId="2" borderId="33" xfId="1" applyNumberFormat="1" applyFont="1" applyFill="1" applyBorder="1" applyAlignment="1">
      <alignment horizontal="center" vertical="center" wrapText="1"/>
    </xf>
    <xf numFmtId="165" fontId="6" fillId="2" borderId="40" xfId="1" applyNumberFormat="1" applyFont="1" applyFill="1" applyBorder="1" applyAlignment="1">
      <alignment horizontal="center" vertical="center" wrapText="1"/>
    </xf>
    <xf numFmtId="165" fontId="6" fillId="0" borderId="35" xfId="1" applyNumberFormat="1" applyFont="1" applyFill="1" applyBorder="1" applyAlignment="1">
      <alignment horizontal="center" vertical="center" wrapText="1"/>
    </xf>
    <xf numFmtId="164" fontId="6" fillId="0" borderId="13" xfId="1" applyNumberFormat="1" applyFont="1" applyFill="1" applyBorder="1" applyAlignment="1">
      <alignment horizontal="center" vertical="center"/>
    </xf>
    <xf numFmtId="0" fontId="17" fillId="0" borderId="13" xfId="0" applyFont="1" applyBorder="1" applyAlignment="1">
      <alignment horizontal="center" vertical="center"/>
    </xf>
    <xf numFmtId="49" fontId="6" fillId="0" borderId="30" xfId="1" applyNumberFormat="1" applyFont="1" applyFill="1" applyBorder="1" applyAlignment="1">
      <alignment horizontal="left" vertical="center" wrapText="1"/>
    </xf>
    <xf numFmtId="49" fontId="6" fillId="0" borderId="31" xfId="1" applyNumberFormat="1" applyFont="1" applyFill="1" applyBorder="1" applyAlignment="1">
      <alignment horizontal="left" vertical="center" wrapText="1"/>
    </xf>
    <xf numFmtId="165" fontId="6" fillId="2" borderId="34" xfId="1" applyNumberFormat="1" applyFont="1" applyFill="1" applyBorder="1" applyAlignment="1">
      <alignment horizontal="center" vertical="center" wrapText="1"/>
    </xf>
    <xf numFmtId="164" fontId="15" fillId="0" borderId="33" xfId="1" applyNumberFormat="1" applyFont="1" applyFill="1" applyBorder="1" applyAlignment="1">
      <alignment horizontal="center" vertical="center"/>
    </xf>
    <xf numFmtId="164" fontId="15" fillId="0" borderId="34" xfId="1" applyNumberFormat="1" applyFont="1" applyFill="1" applyBorder="1" applyAlignment="1">
      <alignment horizontal="center" vertical="center"/>
    </xf>
    <xf numFmtId="164" fontId="6" fillId="0" borderId="33" xfId="1" applyNumberFormat="1" applyFont="1" applyFill="1" applyBorder="1" applyAlignment="1">
      <alignment horizontal="center" vertical="center"/>
    </xf>
    <xf numFmtId="164" fontId="6" fillId="0" borderId="34" xfId="1" applyNumberFormat="1" applyFont="1" applyFill="1" applyBorder="1" applyAlignment="1">
      <alignment horizontal="center" vertical="center"/>
    </xf>
    <xf numFmtId="165" fontId="6" fillId="0" borderId="40" xfId="1" applyNumberFormat="1" applyFont="1" applyFill="1" applyBorder="1" applyAlignment="1">
      <alignment horizontal="center" vertical="center" wrapText="1"/>
    </xf>
    <xf numFmtId="164" fontId="6" fillId="0" borderId="40" xfId="1" applyNumberFormat="1" applyFont="1" applyFill="1" applyBorder="1" applyAlignment="1">
      <alignment horizontal="center" vertical="center"/>
    </xf>
    <xf numFmtId="165" fontId="6" fillId="2" borderId="46" xfId="1" applyNumberFormat="1" applyFont="1" applyFill="1" applyBorder="1" applyAlignment="1">
      <alignment horizontal="center" vertical="center" wrapText="1"/>
    </xf>
    <xf numFmtId="165" fontId="6" fillId="2" borderId="35" xfId="1" applyNumberFormat="1" applyFont="1" applyFill="1" applyBorder="1" applyAlignment="1">
      <alignment horizontal="center" vertical="center" wrapText="1"/>
    </xf>
    <xf numFmtId="0" fontId="6" fillId="2" borderId="36" xfId="1" applyFont="1" applyFill="1" applyBorder="1" applyAlignment="1">
      <alignment horizontal="left" vertical="center" wrapText="1"/>
    </xf>
    <xf numFmtId="0" fontId="6" fillId="2" borderId="37" xfId="1" applyFont="1" applyFill="1" applyBorder="1" applyAlignment="1">
      <alignment horizontal="left" vertical="center" wrapText="1"/>
    </xf>
    <xf numFmtId="164" fontId="6" fillId="0" borderId="35" xfId="1" applyNumberFormat="1" applyFont="1" applyFill="1" applyBorder="1" applyAlignment="1">
      <alignment horizontal="center" vertical="center"/>
    </xf>
    <xf numFmtId="164" fontId="6" fillId="0" borderId="46" xfId="1" applyNumberFormat="1" applyFont="1" applyFill="1" applyBorder="1" applyAlignment="1">
      <alignment horizontal="center" vertical="center"/>
    </xf>
    <xf numFmtId="164" fontId="6" fillId="0" borderId="25" xfId="1" applyNumberFormat="1" applyFont="1" applyFill="1" applyBorder="1" applyAlignment="1">
      <alignment horizontal="center" vertical="center"/>
    </xf>
    <xf numFmtId="0" fontId="6" fillId="0" borderId="15" xfId="1" applyFont="1" applyFill="1" applyBorder="1" applyAlignment="1">
      <alignment horizontal="left" vertical="center" wrapText="1"/>
    </xf>
    <xf numFmtId="0" fontId="6" fillId="0" borderId="43" xfId="1" applyFont="1" applyFill="1" applyBorder="1" applyAlignment="1">
      <alignment horizontal="left" vertical="center" wrapText="1"/>
    </xf>
    <xf numFmtId="164" fontId="6" fillId="0" borderId="38" xfId="1" quotePrefix="1" applyNumberFormat="1" applyFont="1" applyFill="1" applyBorder="1" applyAlignment="1">
      <alignment horizontal="center" vertical="center"/>
    </xf>
    <xf numFmtId="164" fontId="6" fillId="0" borderId="39" xfId="1" quotePrefix="1" applyNumberFormat="1" applyFont="1" applyFill="1" applyBorder="1" applyAlignment="1">
      <alignment horizontal="center" vertical="center"/>
    </xf>
    <xf numFmtId="164" fontId="6" fillId="0" borderId="12" xfId="1" applyNumberFormat="1" applyFont="1" applyFill="1" applyBorder="1" applyAlignment="1">
      <alignment horizontal="center" vertical="center"/>
    </xf>
    <xf numFmtId="164" fontId="6" fillId="0" borderId="44" xfId="1" applyNumberFormat="1" applyFont="1" applyFill="1" applyBorder="1" applyAlignment="1">
      <alignment horizontal="center" vertical="center"/>
    </xf>
    <xf numFmtId="165" fontId="6" fillId="2" borderId="13" xfId="1" applyNumberFormat="1" applyFont="1" applyFill="1" applyBorder="1" applyAlignment="1">
      <alignment horizontal="center" vertical="center" wrapText="1"/>
    </xf>
    <xf numFmtId="165" fontId="6" fillId="0" borderId="25" xfId="1" applyNumberFormat="1" applyFont="1" applyFill="1" applyBorder="1" applyAlignment="1">
      <alignment horizontal="center" vertical="center" wrapText="1"/>
    </xf>
    <xf numFmtId="0" fontId="6" fillId="0" borderId="24" xfId="4" applyFont="1" applyFill="1" applyBorder="1" applyAlignment="1">
      <alignment horizontal="left" vertical="center" wrapText="1"/>
    </xf>
    <xf numFmtId="49" fontId="6" fillId="0" borderId="26" xfId="1" applyNumberFormat="1" applyFont="1" applyFill="1" applyBorder="1" applyAlignment="1">
      <alignment horizontal="left" vertical="center" wrapText="1"/>
    </xf>
    <xf numFmtId="49" fontId="6" fillId="2" borderId="16" xfId="1" applyNumberFormat="1" applyFont="1" applyFill="1" applyBorder="1" applyAlignment="1">
      <alignment horizontal="left" vertical="center" wrapText="1"/>
    </xf>
    <xf numFmtId="49" fontId="6" fillId="2" borderId="18" xfId="1" applyNumberFormat="1" applyFont="1" applyFill="1" applyBorder="1" applyAlignment="1">
      <alignment horizontal="left" vertical="center" wrapText="1"/>
    </xf>
    <xf numFmtId="49" fontId="6" fillId="2" borderId="45" xfId="1" applyNumberFormat="1" applyFont="1" applyFill="1" applyBorder="1" applyAlignment="1">
      <alignment horizontal="left" vertical="center" wrapText="1"/>
    </xf>
    <xf numFmtId="49" fontId="6" fillId="0" borderId="18" xfId="1" applyNumberFormat="1" applyFont="1" applyFill="1" applyBorder="1" applyAlignment="1">
      <alignment horizontal="left" vertical="center" wrapText="1"/>
    </xf>
    <xf numFmtId="164" fontId="6" fillId="0" borderId="25" xfId="1" applyNumberFormat="1" applyFont="1" applyFill="1" applyBorder="1" applyAlignment="1">
      <alignment horizontal="center" vertical="center" wrapText="1"/>
    </xf>
    <xf numFmtId="164" fontId="6" fillId="0" borderId="38" xfId="1" applyNumberFormat="1" applyFont="1" applyFill="1" applyBorder="1" applyAlignment="1">
      <alignment horizontal="center" vertical="center"/>
    </xf>
    <xf numFmtId="164" fontId="6" fillId="0" borderId="39" xfId="1" applyNumberFormat="1" applyFont="1" applyFill="1" applyBorder="1" applyAlignment="1">
      <alignment horizontal="center" vertical="center"/>
    </xf>
    <xf numFmtId="164" fontId="6" fillId="2" borderId="13" xfId="1" applyNumberFormat="1" applyFont="1" applyFill="1" applyBorder="1" applyAlignment="1">
      <alignment horizontal="center" vertical="center"/>
    </xf>
    <xf numFmtId="49" fontId="5" fillId="0" borderId="30" xfId="1" applyNumberFormat="1" applyFont="1" applyFill="1" applyBorder="1" applyAlignment="1">
      <alignment horizontal="left" vertical="center" wrapText="1"/>
    </xf>
    <xf numFmtId="49" fontId="5" fillId="0" borderId="31" xfId="1" applyNumberFormat="1" applyFont="1" applyFill="1" applyBorder="1" applyAlignment="1">
      <alignment horizontal="left" vertical="center" wrapText="1"/>
    </xf>
    <xf numFmtId="165" fontId="6" fillId="0" borderId="13" xfId="1" applyNumberFormat="1" applyFont="1" applyFill="1" applyBorder="1" applyAlignment="1">
      <alignment horizontal="center" vertical="center" wrapText="1"/>
    </xf>
    <xf numFmtId="164" fontId="6" fillId="2" borderId="12" xfId="1" applyNumberFormat="1" applyFont="1" applyFill="1" applyBorder="1" applyAlignment="1">
      <alignment horizontal="center" vertical="center"/>
    </xf>
    <xf numFmtId="0" fontId="6" fillId="2" borderId="17" xfId="1" applyFont="1" applyFill="1" applyBorder="1" applyAlignment="1">
      <alignment vertical="center" wrapText="1"/>
    </xf>
    <xf numFmtId="165" fontId="6" fillId="0" borderId="12" xfId="1" applyNumberFormat="1" applyFont="1" applyFill="1" applyBorder="1" applyAlignment="1">
      <alignment horizontal="center" vertical="center" wrapText="1"/>
    </xf>
    <xf numFmtId="164" fontId="6" fillId="0" borderId="12" xfId="1" applyNumberFormat="1" applyFont="1" applyFill="1" applyBorder="1" applyAlignment="1">
      <alignment horizontal="center" vertical="center" wrapText="1"/>
    </xf>
    <xf numFmtId="164" fontId="6" fillId="0" borderId="13" xfId="1" applyNumberFormat="1" applyFont="1" applyFill="1" applyBorder="1" applyAlignment="1">
      <alignment horizontal="center" vertical="center" wrapText="1"/>
    </xf>
    <xf numFmtId="0" fontId="16" fillId="4" borderId="6" xfId="1" applyNumberFormat="1" applyFont="1" applyFill="1" applyBorder="1" applyAlignment="1">
      <alignment horizontal="center" vertical="center" textRotation="90" wrapText="1"/>
    </xf>
    <xf numFmtId="0" fontId="16" fillId="4" borderId="9" xfId="1" applyNumberFormat="1" applyFont="1" applyFill="1" applyBorder="1" applyAlignment="1">
      <alignment horizontal="center" vertical="center" textRotation="90" wrapText="1"/>
    </xf>
    <xf numFmtId="0" fontId="13" fillId="4" borderId="9" xfId="1" applyNumberFormat="1" applyFont="1" applyFill="1" applyBorder="1" applyAlignment="1">
      <alignment horizontal="center" vertical="center" wrapText="1"/>
    </xf>
    <xf numFmtId="0" fontId="13" fillId="4" borderId="1" xfId="1" applyFont="1" applyFill="1" applyBorder="1" applyAlignment="1">
      <alignment horizontal="left" vertical="center"/>
    </xf>
    <xf numFmtId="0" fontId="13" fillId="4" borderId="3" xfId="1" applyFont="1" applyFill="1" applyBorder="1" applyAlignment="1">
      <alignment horizontal="left" vertical="center"/>
    </xf>
    <xf numFmtId="0" fontId="13" fillId="4" borderId="2" xfId="1" applyFont="1" applyFill="1" applyBorder="1" applyAlignment="1">
      <alignment horizontal="left" vertical="center"/>
    </xf>
    <xf numFmtId="0" fontId="10" fillId="4" borderId="5" xfId="1" applyFont="1" applyFill="1" applyBorder="1" applyAlignment="1">
      <alignment horizontal="center" vertical="center"/>
    </xf>
    <xf numFmtId="0" fontId="10" fillId="4" borderId="8" xfId="1" applyFont="1" applyFill="1" applyBorder="1" applyAlignment="1">
      <alignment horizontal="center" vertical="center"/>
    </xf>
    <xf numFmtId="0" fontId="6" fillId="0" borderId="36" xfId="1" applyFont="1" applyFill="1" applyBorder="1" applyAlignment="1">
      <alignment horizontal="left" vertical="center" wrapText="1"/>
    </xf>
    <xf numFmtId="0" fontId="6" fillId="0" borderId="37" xfId="1" applyFont="1" applyFill="1" applyBorder="1" applyAlignment="1">
      <alignment horizontal="left" vertical="center" wrapText="1"/>
    </xf>
    <xf numFmtId="0" fontId="9" fillId="4" borderId="9" xfId="1" applyNumberFormat="1" applyFont="1" applyFill="1" applyBorder="1" applyAlignment="1">
      <alignment horizontal="center" vertical="center" wrapText="1"/>
    </xf>
    <xf numFmtId="0" fontId="6" fillId="2" borderId="15" xfId="1" applyFont="1" applyFill="1" applyBorder="1" applyAlignment="1">
      <alignment vertical="center" wrapText="1"/>
    </xf>
    <xf numFmtId="0" fontId="13" fillId="4" borderId="6" xfId="11" applyNumberFormat="1" applyFont="1" applyFill="1" applyBorder="1" applyAlignment="1">
      <alignment horizontal="center" vertical="center" wrapText="1"/>
    </xf>
    <xf numFmtId="0" fontId="13" fillId="4" borderId="9" xfId="11" applyNumberFormat="1" applyFont="1" applyFill="1" applyBorder="1" applyAlignment="1">
      <alignment horizontal="center" vertical="center" wrapText="1"/>
    </xf>
    <xf numFmtId="49" fontId="9" fillId="4" borderId="7" xfId="11" applyNumberFormat="1" applyFont="1" applyFill="1" applyBorder="1" applyAlignment="1">
      <alignment horizontal="center" vertical="center" wrapText="1"/>
    </xf>
    <xf numFmtId="49" fontId="9" fillId="4" borderId="10" xfId="11" applyNumberFormat="1" applyFont="1" applyFill="1" applyBorder="1" applyAlignment="1">
      <alignment horizontal="center" vertical="center" wrapText="1"/>
    </xf>
    <xf numFmtId="0" fontId="9" fillId="4" borderId="6" xfId="1" applyNumberFormat="1" applyFont="1" applyFill="1" applyBorder="1" applyAlignment="1">
      <alignment horizontal="center" vertical="center" wrapText="1"/>
    </xf>
    <xf numFmtId="0" fontId="13" fillId="4" borderId="6" xfId="1" applyNumberFormat="1" applyFont="1" applyFill="1" applyBorder="1" applyAlignment="1">
      <alignment horizontal="center" vertical="center" wrapText="1"/>
    </xf>
    <xf numFmtId="49" fontId="6" fillId="0" borderId="32" xfId="1" applyNumberFormat="1" applyFont="1" applyFill="1" applyBorder="1" applyAlignment="1">
      <alignment horizontal="left" vertical="center" wrapText="1"/>
    </xf>
    <xf numFmtId="49" fontId="5" fillId="0" borderId="18" xfId="1" applyNumberFormat="1" applyFont="1" applyFill="1" applyBorder="1" applyAlignment="1">
      <alignment horizontal="left" vertical="center" wrapText="1"/>
    </xf>
    <xf numFmtId="49" fontId="5" fillId="0" borderId="20" xfId="1" applyNumberFormat="1" applyFont="1" applyFill="1" applyBorder="1" applyAlignment="1">
      <alignment horizontal="left" vertical="center" wrapText="1"/>
    </xf>
    <xf numFmtId="0" fontId="5" fillId="0" borderId="54" xfId="1" applyFont="1" applyFill="1" applyBorder="1" applyAlignment="1">
      <alignment vertical="center" wrapText="1"/>
    </xf>
    <xf numFmtId="0" fontId="5" fillId="0" borderId="37" xfId="1" applyFont="1" applyFill="1" applyBorder="1" applyAlignment="1">
      <alignment horizontal="left" vertical="center" wrapText="1"/>
    </xf>
    <xf numFmtId="0" fontId="5" fillId="0" borderId="17" xfId="1" applyFont="1" applyFill="1" applyBorder="1" applyAlignment="1">
      <alignment horizontal="left" vertical="center" wrapText="1"/>
    </xf>
    <xf numFmtId="165" fontId="5" fillId="0" borderId="13" xfId="1" applyNumberFormat="1" applyFont="1" applyBorder="1" applyAlignment="1">
      <alignment horizontal="center" vertical="center" wrapText="1"/>
    </xf>
    <xf numFmtId="165" fontId="5" fillId="2" borderId="13" xfId="1" applyNumberFormat="1" applyFont="1" applyFill="1" applyBorder="1" applyAlignment="1">
      <alignment horizontal="center" vertical="center" wrapText="1"/>
    </xf>
    <xf numFmtId="164" fontId="5" fillId="0" borderId="13" xfId="1" applyNumberFormat="1" applyFont="1" applyBorder="1" applyAlignment="1">
      <alignment horizontal="center" vertical="center"/>
    </xf>
    <xf numFmtId="165" fontId="5" fillId="0" borderId="13" xfId="1" applyNumberFormat="1" applyFont="1" applyFill="1" applyBorder="1" applyAlignment="1">
      <alignment horizontal="center" vertical="center" wrapText="1"/>
    </xf>
    <xf numFmtId="164" fontId="5" fillId="2" borderId="13" xfId="1" applyNumberFormat="1" applyFont="1" applyFill="1" applyBorder="1" applyAlignment="1">
      <alignment horizontal="center" vertical="center"/>
    </xf>
  </cellXfs>
  <cellStyles count="16">
    <cellStyle name="Comma" xfId="15" builtinId="3"/>
    <cellStyle name="Comma 2" xfId="5"/>
    <cellStyle name="Comma 2 2" xfId="2"/>
    <cellStyle name="Comma 2 2 2" xfId="12"/>
    <cellStyle name="Comma 2 3" xfId="6"/>
    <cellStyle name="Comma 3" xfId="7"/>
    <cellStyle name="Normal" xfId="0" builtinId="0"/>
    <cellStyle name="Normal 2" xfId="8"/>
    <cellStyle name="Normal 2 2" xfId="4"/>
    <cellStyle name="Normal 2 3" xfId="14"/>
    <cellStyle name="Normal 3" xfId="9"/>
    <cellStyle name="Normal 4" xfId="10"/>
    <cellStyle name="Normal 5" xfId="1"/>
    <cellStyle name="Percent" xfId="11" builtinId="5"/>
    <cellStyle name="Percent 2" xfId="3"/>
    <cellStyle name="Percent 2 2" xfId="13"/>
  </cellStyles>
  <dxfs count="0"/>
  <tableStyles count="0" defaultTableStyle="TableStyleMedium9" defaultPivotStyle="PivotStyleLight16"/>
  <colors>
    <mruColors>
      <color rgb="FF2C69B2"/>
      <color rgb="FFCC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Angles">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Angles">
      <a:majorFont>
        <a:latin typeface="Franklin Gothic Medium"/>
        <a:ea typeface=""/>
        <a:cs typeface=""/>
        <a:font script="Jpan" typeface="HG創英角ｺﾞｼｯｸUB"/>
        <a:font script="Hang" typeface="돋움"/>
        <a:font script="Hans" typeface="微软雅黑"/>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a:ea typeface=""/>
        <a:cs typeface=""/>
        <a:font script="Jpan" typeface="ＭＳ Ｐゴシック"/>
        <a:font script="Hang" typeface="맑은 고딕"/>
        <a:font script="Hans" typeface="隶书"/>
        <a:font script="Hant" typeface="新細明體"/>
        <a:font script="Arab" typeface="Arial"/>
        <a:font script="Hebr" typeface="Arial"/>
        <a:font script="Thai" typeface="Cord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le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20400000"/>
            </a:lightRig>
          </a:scene3d>
          <a:sp3d contourW="6350">
            <a:bevelT w="41275" h="19050" prst="angle"/>
            <a:contourClr>
              <a:schemeClr val="phClr">
                <a:shade val="25000"/>
                <a:satMod val="150000"/>
              </a:schemeClr>
            </a:contourClr>
          </a:sp3d>
        </a:effectStyle>
      </a:effectStyleLst>
      <a:bgFillStyleLst>
        <a:solidFill>
          <a:schemeClr val="phClr"/>
        </a:solidFill>
        <a:blipFill rotWithShape="1">
          <a:blip xmlns:r="http://schemas.openxmlformats.org/officeDocument/2006/relationships" r:embed="rId1">
            <a:duotone>
              <a:schemeClr val="phClr">
                <a:tint val="90000"/>
                <a:shade val="85000"/>
              </a:schemeClr>
              <a:schemeClr val="phClr">
                <a:tint val="95000"/>
                <a:shade val="99000"/>
              </a:schemeClr>
            </a:duotone>
          </a:blip>
          <a:tile tx="0" ty="0" sx="100000" sy="100000" flip="none" algn="tl"/>
        </a:blipFill>
        <a:blipFill rotWithShape="1">
          <a:blip xmlns:r="http://schemas.openxmlformats.org/officeDocument/2006/relationships" r:embed="rId2">
            <a:duotone>
              <a:schemeClr val="phClr">
                <a:tint val="93000"/>
                <a:shade val="85000"/>
              </a:schemeClr>
              <a:schemeClr val="phClr">
                <a:tint val="96000"/>
                <a:shade val="99000"/>
              </a:schemeClr>
            </a:duotone>
          </a:blip>
          <a:tile tx="0" ty="0" sx="90000" sy="9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Q110"/>
  <sheetViews>
    <sheetView tabSelected="1" view="pageBreakPreview" topLeftCell="A99" zoomScale="68" zoomScaleNormal="68" zoomScaleSheetLayoutView="68" zoomScalePageLayoutView="20" workbookViewId="0">
      <selection activeCell="A102" sqref="A102:N102"/>
    </sheetView>
  </sheetViews>
  <sheetFormatPr defaultColWidth="9.23046875" defaultRowHeight="16"/>
  <cols>
    <col min="1" max="1" width="53.4609375" style="13" customWidth="1"/>
    <col min="2" max="2" width="13.765625" style="5" customWidth="1"/>
    <col min="3" max="3" width="13.765625" style="2" customWidth="1"/>
    <col min="4" max="6" width="15.4609375" style="1" customWidth="1"/>
    <col min="7" max="7" width="16.765625" style="4" customWidth="1"/>
    <col min="8" max="8" width="13.4609375" style="1" customWidth="1"/>
    <col min="9" max="9" width="17.3046875" style="13" customWidth="1"/>
    <col min="10" max="10" width="13.84375" style="13" customWidth="1"/>
    <col min="11" max="11" width="16.07421875" style="13" customWidth="1"/>
    <col min="12" max="12" width="15.23046875" style="13" customWidth="1"/>
    <col min="13" max="13" width="28.84375" style="4" hidden="1" customWidth="1"/>
    <col min="14" max="14" width="108.765625" style="16" customWidth="1"/>
    <col min="15" max="15" width="9.23046875" style="1"/>
    <col min="16" max="16" width="19" style="1" customWidth="1"/>
    <col min="17" max="16384" width="9.23046875" style="1"/>
  </cols>
  <sheetData>
    <row r="1" spans="1:16" ht="6.75" customHeight="1">
      <c r="B1" s="15"/>
      <c r="C1" s="15"/>
      <c r="D1" s="13"/>
      <c r="E1" s="13"/>
      <c r="F1" s="13"/>
      <c r="H1" s="13"/>
      <c r="M1" s="13"/>
    </row>
    <row r="2" spans="1:16" s="6" customFormat="1" ht="27" customHeight="1">
      <c r="A2" s="63" t="s">
        <v>36</v>
      </c>
      <c r="B2" s="20"/>
      <c r="C2" s="20"/>
      <c r="D2" s="19"/>
      <c r="E2" s="19"/>
      <c r="F2" s="19"/>
      <c r="G2" s="19"/>
      <c r="H2" s="8"/>
      <c r="I2" s="46"/>
      <c r="J2" s="46"/>
      <c r="K2" s="8"/>
      <c r="L2" s="46"/>
      <c r="M2" s="19"/>
      <c r="N2" s="38"/>
    </row>
    <row r="3" spans="1:16" ht="27" customHeight="1" thickBot="1">
      <c r="A3" s="47" t="s">
        <v>180</v>
      </c>
      <c r="B3" s="21"/>
      <c r="C3" s="21"/>
      <c r="D3" s="22"/>
      <c r="E3" s="22"/>
      <c r="F3" s="22"/>
      <c r="G3" s="22"/>
      <c r="H3" s="31"/>
      <c r="I3" s="31"/>
      <c r="J3" s="31"/>
      <c r="K3" s="31"/>
      <c r="L3" s="31"/>
      <c r="M3" s="22"/>
    </row>
    <row r="4" spans="1:16" s="6" customFormat="1" ht="75.650000000000006" customHeight="1">
      <c r="A4" s="231" t="s">
        <v>146</v>
      </c>
      <c r="B4" s="225" t="s">
        <v>144</v>
      </c>
      <c r="C4" s="225" t="s">
        <v>41</v>
      </c>
      <c r="D4" s="242" t="s">
        <v>31</v>
      </c>
      <c r="E4" s="242"/>
      <c r="F4" s="242"/>
      <c r="G4" s="241" t="s">
        <v>122</v>
      </c>
      <c r="H4" s="241"/>
      <c r="I4" s="241" t="s">
        <v>123</v>
      </c>
      <c r="J4" s="241"/>
      <c r="K4" s="241" t="s">
        <v>42</v>
      </c>
      <c r="L4" s="241"/>
      <c r="M4" s="237" t="s">
        <v>0</v>
      </c>
      <c r="N4" s="239" t="s">
        <v>30</v>
      </c>
    </row>
    <row r="5" spans="1:16" s="6" customFormat="1" ht="55.5" customHeight="1" thickBot="1">
      <c r="A5" s="232"/>
      <c r="B5" s="226"/>
      <c r="C5" s="226"/>
      <c r="D5" s="227" t="s">
        <v>27</v>
      </c>
      <c r="E5" s="227"/>
      <c r="F5" s="227"/>
      <c r="G5" s="235" t="s">
        <v>38</v>
      </c>
      <c r="H5" s="235"/>
      <c r="I5" s="235" t="s">
        <v>38</v>
      </c>
      <c r="J5" s="235"/>
      <c r="K5" s="235" t="s">
        <v>38</v>
      </c>
      <c r="L5" s="235"/>
      <c r="M5" s="238"/>
      <c r="N5" s="240"/>
    </row>
    <row r="6" spans="1:16" ht="30.75" customHeight="1" thickBot="1">
      <c r="A6" s="48"/>
      <c r="B6" s="23"/>
      <c r="C6" s="23"/>
      <c r="D6" s="24" t="s">
        <v>19</v>
      </c>
      <c r="E6" s="24" t="s">
        <v>14</v>
      </c>
      <c r="F6" s="24" t="s">
        <v>15</v>
      </c>
      <c r="G6" s="24" t="s">
        <v>14</v>
      </c>
      <c r="H6" s="32" t="s">
        <v>15</v>
      </c>
      <c r="I6" s="32" t="s">
        <v>14</v>
      </c>
      <c r="J6" s="61" t="s">
        <v>15</v>
      </c>
      <c r="K6" s="32" t="s">
        <v>14</v>
      </c>
      <c r="L6" s="32" t="s">
        <v>15</v>
      </c>
      <c r="M6" s="25"/>
      <c r="N6" s="39"/>
    </row>
    <row r="7" spans="1:16" s="7" customFormat="1" ht="36.75" customHeight="1" thickBot="1">
      <c r="A7" s="228" t="s">
        <v>8</v>
      </c>
      <c r="B7" s="229"/>
      <c r="C7" s="229"/>
      <c r="D7" s="229"/>
      <c r="E7" s="229"/>
      <c r="F7" s="230"/>
      <c r="G7" s="26">
        <f t="shared" ref="G7:L7" si="0">SUM(G8:G34)</f>
        <v>695850</v>
      </c>
      <c r="H7" s="33">
        <f t="shared" si="0"/>
        <v>2000</v>
      </c>
      <c r="I7" s="33">
        <f t="shared" si="0"/>
        <v>101152.16997999999</v>
      </c>
      <c r="J7" s="33">
        <f t="shared" si="0"/>
        <v>5.1328399999999998</v>
      </c>
      <c r="K7" s="33">
        <f t="shared" si="0"/>
        <v>3327400.7341500004</v>
      </c>
      <c r="L7" s="33">
        <f t="shared" si="0"/>
        <v>44630.198059999995</v>
      </c>
      <c r="M7" s="27"/>
      <c r="N7" s="40"/>
      <c r="P7" s="166"/>
    </row>
    <row r="8" spans="1:16" ht="87.75" customHeight="1">
      <c r="A8" s="236" t="s">
        <v>28</v>
      </c>
      <c r="B8" s="222">
        <v>41431</v>
      </c>
      <c r="C8" s="222">
        <v>43830</v>
      </c>
      <c r="D8" s="85" t="s">
        <v>17</v>
      </c>
      <c r="E8" s="85">
        <v>24500</v>
      </c>
      <c r="F8" s="203"/>
      <c r="G8" s="203"/>
      <c r="H8" s="203"/>
      <c r="I8" s="203"/>
      <c r="J8" s="220"/>
      <c r="K8" s="203">
        <f>164985.95612+I8</f>
        <v>164985.95611999999</v>
      </c>
      <c r="L8" s="203"/>
      <c r="M8" s="223" t="s">
        <v>35</v>
      </c>
      <c r="N8" s="243" t="s">
        <v>157</v>
      </c>
      <c r="P8" s="167"/>
    </row>
    <row r="9" spans="1:16" ht="70.5" customHeight="1">
      <c r="A9" s="221"/>
      <c r="B9" s="219"/>
      <c r="C9" s="219"/>
      <c r="D9" s="86" t="s">
        <v>18</v>
      </c>
      <c r="E9" s="86">
        <v>38000</v>
      </c>
      <c r="F9" s="181"/>
      <c r="G9" s="181"/>
      <c r="H9" s="181"/>
      <c r="I9" s="181"/>
      <c r="J9" s="216"/>
      <c r="K9" s="181"/>
      <c r="L9" s="181"/>
      <c r="M9" s="224"/>
      <c r="N9" s="184"/>
    </row>
    <row r="10" spans="1:16" s="9" customFormat="1" ht="108.75" customHeight="1">
      <c r="A10" s="221" t="s">
        <v>56</v>
      </c>
      <c r="B10" s="219">
        <v>42410</v>
      </c>
      <c r="C10" s="219">
        <v>45291</v>
      </c>
      <c r="D10" s="86" t="s">
        <v>18</v>
      </c>
      <c r="E10" s="86">
        <v>140000</v>
      </c>
      <c r="F10" s="86"/>
      <c r="G10" s="181">
        <v>67800</v>
      </c>
      <c r="H10" s="181"/>
      <c r="I10" s="181">
        <v>1103.2529400000001</v>
      </c>
      <c r="J10" s="216"/>
      <c r="K10" s="181">
        <f>311226.765+I10</f>
        <v>312330.01793999999</v>
      </c>
      <c r="L10" s="181"/>
      <c r="M10" s="102"/>
      <c r="N10" s="183" t="s">
        <v>196</v>
      </c>
    </row>
    <row r="11" spans="1:16" s="9" customFormat="1" ht="105" customHeight="1">
      <c r="A11" s="221"/>
      <c r="B11" s="219"/>
      <c r="C11" s="219"/>
      <c r="D11" s="86" t="s">
        <v>24</v>
      </c>
      <c r="E11" s="86">
        <v>49450</v>
      </c>
      <c r="F11" s="86"/>
      <c r="G11" s="181"/>
      <c r="H11" s="181"/>
      <c r="I11" s="181"/>
      <c r="J11" s="216"/>
      <c r="K11" s="181"/>
      <c r="L11" s="181"/>
      <c r="M11" s="102"/>
      <c r="N11" s="184"/>
    </row>
    <row r="12" spans="1:16" ht="66.75" customHeight="1">
      <c r="A12" s="221" t="s">
        <v>22</v>
      </c>
      <c r="B12" s="219">
        <v>40115</v>
      </c>
      <c r="C12" s="219">
        <v>43737</v>
      </c>
      <c r="D12" s="86" t="s">
        <v>17</v>
      </c>
      <c r="E12" s="86">
        <v>75892</v>
      </c>
      <c r="F12" s="181"/>
      <c r="G12" s="181"/>
      <c r="H12" s="181"/>
      <c r="I12" s="181"/>
      <c r="J12" s="181"/>
      <c r="K12" s="181">
        <f>393464.06647+I12</f>
        <v>393464.06647000002</v>
      </c>
      <c r="L12" s="181"/>
      <c r="M12" s="224" t="s">
        <v>35</v>
      </c>
      <c r="N12" s="183" t="s">
        <v>140</v>
      </c>
    </row>
    <row r="13" spans="1:16" ht="51" customHeight="1">
      <c r="A13" s="221"/>
      <c r="B13" s="219"/>
      <c r="C13" s="219"/>
      <c r="D13" s="86" t="s">
        <v>21</v>
      </c>
      <c r="E13" s="86">
        <v>140000</v>
      </c>
      <c r="F13" s="181"/>
      <c r="G13" s="181"/>
      <c r="H13" s="181"/>
      <c r="I13" s="181"/>
      <c r="J13" s="181"/>
      <c r="K13" s="181"/>
      <c r="L13" s="181"/>
      <c r="M13" s="224"/>
      <c r="N13" s="184"/>
    </row>
    <row r="14" spans="1:16" ht="54" customHeight="1">
      <c r="A14" s="233" t="s">
        <v>67</v>
      </c>
      <c r="B14" s="164">
        <v>42898</v>
      </c>
      <c r="C14" s="164">
        <v>45107</v>
      </c>
      <c r="D14" s="86" t="s">
        <v>24</v>
      </c>
      <c r="E14" s="86">
        <v>108190</v>
      </c>
      <c r="F14" s="188"/>
      <c r="G14" s="188">
        <v>64000</v>
      </c>
      <c r="H14" s="188"/>
      <c r="I14" s="188">
        <v>6919.6150100000004</v>
      </c>
      <c r="J14" s="188"/>
      <c r="K14" s="188">
        <f>179652.38391+I14</f>
        <v>186571.99892000001</v>
      </c>
      <c r="L14" s="188"/>
      <c r="M14" s="102"/>
      <c r="N14" s="183" t="s">
        <v>163</v>
      </c>
    </row>
    <row r="15" spans="1:16" s="13" customFormat="1" ht="54" customHeight="1">
      <c r="A15" s="234"/>
      <c r="B15" s="180"/>
      <c r="C15" s="180"/>
      <c r="D15" s="86" t="s">
        <v>18</v>
      </c>
      <c r="E15" s="86">
        <v>114000</v>
      </c>
      <c r="F15" s="196"/>
      <c r="G15" s="196"/>
      <c r="H15" s="196"/>
      <c r="I15" s="196"/>
      <c r="J15" s="196"/>
      <c r="K15" s="196"/>
      <c r="L15" s="196"/>
      <c r="M15" s="102"/>
      <c r="N15" s="184"/>
    </row>
    <row r="16" spans="1:16" ht="113.25" customHeight="1">
      <c r="A16" s="141" t="s">
        <v>25</v>
      </c>
      <c r="B16" s="91">
        <v>40163</v>
      </c>
      <c r="C16" s="103">
        <v>45101</v>
      </c>
      <c r="D16" s="86" t="s">
        <v>23</v>
      </c>
      <c r="E16" s="86">
        <v>22132000</v>
      </c>
      <c r="F16" s="86"/>
      <c r="G16" s="138"/>
      <c r="H16" s="138"/>
      <c r="I16" s="130"/>
      <c r="J16" s="86"/>
      <c r="K16" s="86">
        <f>400633.70469+I16</f>
        <v>400633.70468999998</v>
      </c>
      <c r="L16" s="86"/>
      <c r="M16" s="102" t="s">
        <v>35</v>
      </c>
      <c r="N16" s="95" t="s">
        <v>158</v>
      </c>
    </row>
    <row r="17" spans="1:17" ht="156.75" customHeight="1">
      <c r="A17" s="141" t="s">
        <v>47</v>
      </c>
      <c r="B17" s="91">
        <v>41040</v>
      </c>
      <c r="C17" s="91">
        <v>43797</v>
      </c>
      <c r="D17" s="86" t="s">
        <v>24</v>
      </c>
      <c r="E17" s="86">
        <v>200000</v>
      </c>
      <c r="F17" s="86">
        <v>20000</v>
      </c>
      <c r="G17" s="138">
        <v>30000</v>
      </c>
      <c r="H17" s="138">
        <v>2000</v>
      </c>
      <c r="I17" s="86">
        <v>1243.2525700000001</v>
      </c>
      <c r="J17" s="86">
        <f>5132.84/1000</f>
        <v>5.1328399999999998</v>
      </c>
      <c r="K17" s="86">
        <f>419449.66675+I17</f>
        <v>420692.91931999999</v>
      </c>
      <c r="L17" s="86">
        <f>44625.06522+J17</f>
        <v>44630.198059999995</v>
      </c>
      <c r="M17" s="102" t="s">
        <v>35</v>
      </c>
      <c r="N17" s="95" t="s">
        <v>188</v>
      </c>
    </row>
    <row r="18" spans="1:17" s="13" customFormat="1" ht="34.5" customHeight="1">
      <c r="A18" s="194" t="s">
        <v>86</v>
      </c>
      <c r="B18" s="91" t="s">
        <v>84</v>
      </c>
      <c r="C18" s="91" t="s">
        <v>85</v>
      </c>
      <c r="D18" s="86" t="s">
        <v>24</v>
      </c>
      <c r="E18" s="86">
        <v>16900</v>
      </c>
      <c r="F18" s="86"/>
      <c r="G18" s="188">
        <v>50850</v>
      </c>
      <c r="H18" s="188"/>
      <c r="I18" s="188">
        <v>9751.5839899999992</v>
      </c>
      <c r="J18" s="188"/>
      <c r="K18" s="188">
        <f>78751.05525+I18</f>
        <v>88502.639240000004</v>
      </c>
      <c r="L18" s="188"/>
      <c r="M18" s="102"/>
      <c r="N18" s="183" t="s">
        <v>159</v>
      </c>
    </row>
    <row r="19" spans="1:17" s="13" customFormat="1" ht="35.25" customHeight="1">
      <c r="A19" s="195"/>
      <c r="B19" s="91">
        <v>42713</v>
      </c>
      <c r="C19" s="91">
        <v>44539</v>
      </c>
      <c r="D19" s="86" t="s">
        <v>24</v>
      </c>
      <c r="E19" s="188">
        <v>250000</v>
      </c>
      <c r="F19" s="86"/>
      <c r="G19" s="196"/>
      <c r="H19" s="196"/>
      <c r="I19" s="196"/>
      <c r="J19" s="196"/>
      <c r="K19" s="196"/>
      <c r="L19" s="196"/>
      <c r="M19" s="102"/>
      <c r="N19" s="184"/>
    </row>
    <row r="20" spans="1:17" s="13" customFormat="1" ht="51.75" customHeight="1">
      <c r="A20" s="141" t="s">
        <v>124</v>
      </c>
      <c r="B20" s="164">
        <v>42713</v>
      </c>
      <c r="C20" s="164">
        <v>44539</v>
      </c>
      <c r="D20" s="188" t="s">
        <v>24</v>
      </c>
      <c r="E20" s="189"/>
      <c r="F20" s="86"/>
      <c r="G20" s="151">
        <v>127000</v>
      </c>
      <c r="H20" s="138"/>
      <c r="I20" s="86">
        <v>30010.72107</v>
      </c>
      <c r="J20" s="86"/>
      <c r="K20" s="86">
        <f>371538.51216+I20</f>
        <v>401549.23323000001</v>
      </c>
      <c r="L20" s="86"/>
      <c r="M20" s="102"/>
      <c r="N20" s="90" t="s">
        <v>115</v>
      </c>
    </row>
    <row r="21" spans="1:17" s="13" customFormat="1" ht="42.75" customHeight="1">
      <c r="A21" s="141" t="s">
        <v>80</v>
      </c>
      <c r="B21" s="180"/>
      <c r="C21" s="180"/>
      <c r="D21" s="196"/>
      <c r="E21" s="196"/>
      <c r="F21" s="86"/>
      <c r="G21" s="138">
        <v>59300</v>
      </c>
      <c r="H21" s="138"/>
      <c r="I21" s="86">
        <v>15395.189280000001</v>
      </c>
      <c r="J21" s="86"/>
      <c r="K21" s="86">
        <f>73127.72591+I21</f>
        <v>88522.91519</v>
      </c>
      <c r="L21" s="86"/>
      <c r="M21" s="102"/>
      <c r="N21" s="90" t="s">
        <v>116</v>
      </c>
    </row>
    <row r="22" spans="1:17" s="13" customFormat="1" ht="72.75" customHeight="1">
      <c r="A22" s="141" t="s">
        <v>81</v>
      </c>
      <c r="B22" s="91"/>
      <c r="C22" s="91"/>
      <c r="D22" s="86"/>
      <c r="E22" s="86"/>
      <c r="F22" s="86"/>
      <c r="G22" s="138"/>
      <c r="H22" s="138"/>
      <c r="I22" s="86"/>
      <c r="J22" s="86"/>
      <c r="K22" s="86">
        <f>I22</f>
        <v>0</v>
      </c>
      <c r="L22" s="86"/>
      <c r="M22" s="102"/>
      <c r="N22" s="159" t="s">
        <v>189</v>
      </c>
    </row>
    <row r="23" spans="1:17" s="13" customFormat="1" ht="51.75" customHeight="1">
      <c r="A23" s="141" t="s">
        <v>82</v>
      </c>
      <c r="B23" s="91"/>
      <c r="C23" s="91"/>
      <c r="D23" s="86"/>
      <c r="E23" s="86"/>
      <c r="F23" s="86"/>
      <c r="G23" s="138"/>
      <c r="H23" s="138"/>
      <c r="I23" s="86"/>
      <c r="J23" s="86"/>
      <c r="K23" s="86">
        <f>I23</f>
        <v>0</v>
      </c>
      <c r="L23" s="86"/>
      <c r="M23" s="102"/>
      <c r="N23" s="159" t="s">
        <v>190</v>
      </c>
    </row>
    <row r="24" spans="1:17" s="13" customFormat="1" ht="71.25" customHeight="1">
      <c r="A24" s="141" t="s">
        <v>79</v>
      </c>
      <c r="B24" s="91">
        <v>43378</v>
      </c>
      <c r="C24" s="91">
        <v>45657.123206018521</v>
      </c>
      <c r="D24" s="86" t="s">
        <v>24</v>
      </c>
      <c r="E24" s="86">
        <v>255297</v>
      </c>
      <c r="F24" s="86"/>
      <c r="G24" s="138">
        <v>97500</v>
      </c>
      <c r="H24" s="138"/>
      <c r="I24" s="86">
        <v>21502.929270000001</v>
      </c>
      <c r="J24" s="86"/>
      <c r="K24" s="86">
        <f>215373.35945+I24</f>
        <v>236876.28871999998</v>
      </c>
      <c r="L24" s="86"/>
      <c r="M24" s="102"/>
      <c r="N24" s="90" t="s">
        <v>142</v>
      </c>
    </row>
    <row r="25" spans="1:17" s="13" customFormat="1" ht="29" customHeight="1">
      <c r="A25" s="194" t="s">
        <v>120</v>
      </c>
      <c r="B25" s="91">
        <v>43704</v>
      </c>
      <c r="C25" s="164">
        <v>45291</v>
      </c>
      <c r="D25" s="188" t="s">
        <v>24</v>
      </c>
      <c r="E25" s="86">
        <v>370236</v>
      </c>
      <c r="F25" s="86"/>
      <c r="G25" s="188">
        <v>59000</v>
      </c>
      <c r="H25" s="188"/>
      <c r="I25" s="188">
        <v>4872.4337699999996</v>
      </c>
      <c r="J25" s="188"/>
      <c r="K25" s="188">
        <f>226896.1501+I25</f>
        <v>231768.58387</v>
      </c>
      <c r="L25" s="188"/>
      <c r="M25" s="102"/>
      <c r="N25" s="217" t="s">
        <v>164</v>
      </c>
    </row>
    <row r="26" spans="1:17" s="13" customFormat="1" ht="26.25" customHeight="1">
      <c r="A26" s="195"/>
      <c r="B26" s="91">
        <v>43749</v>
      </c>
      <c r="C26" s="180"/>
      <c r="D26" s="196"/>
      <c r="E26" s="86">
        <v>53400</v>
      </c>
      <c r="F26" s="86"/>
      <c r="G26" s="196"/>
      <c r="H26" s="196"/>
      <c r="I26" s="196"/>
      <c r="J26" s="196"/>
      <c r="K26" s="196"/>
      <c r="L26" s="196"/>
      <c r="M26" s="102"/>
      <c r="N26" s="218"/>
    </row>
    <row r="27" spans="1:17" s="13" customFormat="1" ht="60.5" customHeight="1">
      <c r="A27" s="141" t="s">
        <v>125</v>
      </c>
      <c r="B27" s="91">
        <v>43796</v>
      </c>
      <c r="C27" s="91">
        <v>44926</v>
      </c>
      <c r="D27" s="86" t="s">
        <v>24</v>
      </c>
      <c r="E27" s="86">
        <v>255100</v>
      </c>
      <c r="F27" s="86"/>
      <c r="G27" s="138">
        <v>33900</v>
      </c>
      <c r="H27" s="138"/>
      <c r="I27" s="86">
        <v>856.91414999999995</v>
      </c>
      <c r="J27" s="86"/>
      <c r="K27" s="86">
        <f>109818.81142+I27</f>
        <v>110675.72557</v>
      </c>
      <c r="L27" s="86"/>
      <c r="M27" s="102"/>
      <c r="N27" s="160" t="s">
        <v>191</v>
      </c>
    </row>
    <row r="28" spans="1:17" s="13" customFormat="1" ht="42.5" customHeight="1">
      <c r="A28" s="141" t="s">
        <v>118</v>
      </c>
      <c r="B28" s="91"/>
      <c r="C28" s="91"/>
      <c r="D28" s="86"/>
      <c r="E28" s="86"/>
      <c r="F28" s="86"/>
      <c r="G28" s="138">
        <v>8500</v>
      </c>
      <c r="H28" s="138"/>
      <c r="I28" s="86"/>
      <c r="J28" s="86"/>
      <c r="K28" s="86">
        <f>I28</f>
        <v>0</v>
      </c>
      <c r="L28" s="86"/>
      <c r="M28" s="102"/>
      <c r="N28" s="160" t="s">
        <v>192</v>
      </c>
    </row>
    <row r="29" spans="1:17" s="13" customFormat="1" ht="53.25" customHeight="1">
      <c r="A29" s="141" t="s">
        <v>121</v>
      </c>
      <c r="B29" s="91"/>
      <c r="C29" s="91"/>
      <c r="D29" s="86"/>
      <c r="E29" s="86"/>
      <c r="F29" s="86"/>
      <c r="G29" s="138">
        <v>6000</v>
      </c>
      <c r="H29" s="138"/>
      <c r="I29" s="86"/>
      <c r="J29" s="86"/>
      <c r="K29" s="138">
        <f>I29</f>
        <v>0</v>
      </c>
      <c r="L29" s="86"/>
      <c r="M29" s="102"/>
      <c r="N29" s="90" t="s">
        <v>153</v>
      </c>
    </row>
    <row r="30" spans="1:17" s="3" customFormat="1" ht="162.75" customHeight="1">
      <c r="A30" s="141" t="s">
        <v>39</v>
      </c>
      <c r="B30" s="91">
        <v>41829</v>
      </c>
      <c r="C30" s="91">
        <v>44561</v>
      </c>
      <c r="D30" s="86" t="s">
        <v>18</v>
      </c>
      <c r="E30" s="86">
        <v>75000</v>
      </c>
      <c r="F30" s="86"/>
      <c r="G30" s="138">
        <v>12000</v>
      </c>
      <c r="H30" s="138"/>
      <c r="I30" s="86">
        <v>7076.4626699999999</v>
      </c>
      <c r="J30" s="86"/>
      <c r="K30" s="86">
        <f>167289.82752+I30</f>
        <v>174366.29019</v>
      </c>
      <c r="L30" s="86"/>
      <c r="M30" s="102" t="s">
        <v>35</v>
      </c>
      <c r="N30" s="95" t="s">
        <v>165</v>
      </c>
    </row>
    <row r="31" spans="1:17" s="3" customFormat="1" ht="147" customHeight="1">
      <c r="A31" s="37" t="s">
        <v>53</v>
      </c>
      <c r="B31" s="91">
        <v>42457</v>
      </c>
      <c r="C31" s="91">
        <v>44561</v>
      </c>
      <c r="D31" s="86" t="s">
        <v>18</v>
      </c>
      <c r="E31" s="86">
        <v>40000</v>
      </c>
      <c r="F31" s="86"/>
      <c r="G31" s="138">
        <v>51000</v>
      </c>
      <c r="H31" s="138"/>
      <c r="I31" s="86">
        <v>1123.02575</v>
      </c>
      <c r="J31" s="86"/>
      <c r="K31" s="86">
        <f>48955.19968+I31</f>
        <v>50078.225429999999</v>
      </c>
      <c r="L31" s="86"/>
      <c r="M31" s="102"/>
      <c r="N31" s="244" t="s">
        <v>197</v>
      </c>
    </row>
    <row r="32" spans="1:17" s="3" customFormat="1" ht="72.650000000000006" customHeight="1">
      <c r="A32" s="37" t="s">
        <v>76</v>
      </c>
      <c r="B32" s="91" t="s">
        <v>77</v>
      </c>
      <c r="C32" s="91" t="s">
        <v>78</v>
      </c>
      <c r="D32" s="86" t="s">
        <v>18</v>
      </c>
      <c r="E32" s="86">
        <v>80000</v>
      </c>
      <c r="F32" s="86"/>
      <c r="G32" s="138">
        <v>16500</v>
      </c>
      <c r="H32" s="138"/>
      <c r="I32" s="86">
        <v>1278.4928500000001</v>
      </c>
      <c r="J32" s="86"/>
      <c r="K32" s="86">
        <f>55723.10775+I32</f>
        <v>57001.600600000005</v>
      </c>
      <c r="L32" s="86"/>
      <c r="M32" s="102"/>
      <c r="N32" s="95" t="s">
        <v>117</v>
      </c>
      <c r="O32" s="69"/>
      <c r="P32" s="68"/>
      <c r="Q32" s="70"/>
    </row>
    <row r="33" spans="1:16" s="3" customFormat="1" ht="66.75" customHeight="1">
      <c r="A33" s="37" t="s">
        <v>54</v>
      </c>
      <c r="B33" s="91">
        <v>42752</v>
      </c>
      <c r="C33" s="91">
        <v>44196</v>
      </c>
      <c r="D33" s="86" t="s">
        <v>57</v>
      </c>
      <c r="E33" s="86">
        <v>8000</v>
      </c>
      <c r="F33" s="86"/>
      <c r="G33" s="138">
        <v>10000</v>
      </c>
      <c r="H33" s="138"/>
      <c r="I33" s="86">
        <v>18.296659999999999</v>
      </c>
      <c r="J33" s="86"/>
      <c r="K33" s="86">
        <f>7278.2502+I33</f>
        <v>7296.5468600000004</v>
      </c>
      <c r="L33" s="86"/>
      <c r="M33" s="102"/>
      <c r="N33" s="244" t="s">
        <v>198</v>
      </c>
    </row>
    <row r="34" spans="1:16" s="3" customFormat="1" ht="61.5" customHeight="1" thickBot="1">
      <c r="A34" s="49" t="s">
        <v>55</v>
      </c>
      <c r="B34" s="73">
        <v>42734</v>
      </c>
      <c r="C34" s="73">
        <v>43830</v>
      </c>
      <c r="D34" s="30" t="s">
        <v>24</v>
      </c>
      <c r="E34" s="30">
        <v>6000</v>
      </c>
      <c r="F34" s="30"/>
      <c r="G34" s="30">
        <v>2500</v>
      </c>
      <c r="H34" s="30"/>
      <c r="I34" s="30"/>
      <c r="J34" s="30"/>
      <c r="K34" s="30">
        <f>2084.02179+I34</f>
        <v>2084.0217899999998</v>
      </c>
      <c r="L34" s="30"/>
      <c r="M34" s="75"/>
      <c r="N34" s="28" t="s">
        <v>179</v>
      </c>
    </row>
    <row r="35" spans="1:16" s="7" customFormat="1" ht="38.25" customHeight="1" thickBot="1">
      <c r="A35" s="170" t="s">
        <v>7</v>
      </c>
      <c r="B35" s="171"/>
      <c r="C35" s="171"/>
      <c r="D35" s="171"/>
      <c r="E35" s="171"/>
      <c r="F35" s="172"/>
      <c r="G35" s="34">
        <f>G36+G37+G38+G39+G41+G42+G43+G44+G49+G50+G45+G47+G48+G46</f>
        <v>166635</v>
      </c>
      <c r="H35" s="34">
        <f t="shared" ref="H35:L35" si="1">H36+H37+H38+H39+H41+H42+H43+H44+H49+H50+H45+H47+H48+H46</f>
        <v>11065</v>
      </c>
      <c r="I35" s="34">
        <f t="shared" si="1"/>
        <v>33842.989070000003</v>
      </c>
      <c r="J35" s="34">
        <f t="shared" si="1"/>
        <v>528.71359000000007</v>
      </c>
      <c r="K35" s="34">
        <f t="shared" si="1"/>
        <v>915119.35433</v>
      </c>
      <c r="L35" s="34">
        <f t="shared" si="1"/>
        <v>27308.219010000001</v>
      </c>
      <c r="M35" s="104"/>
      <c r="N35" s="41"/>
      <c r="P35" s="10"/>
    </row>
    <row r="36" spans="1:16" ht="53.25" customHeight="1">
      <c r="A36" s="59" t="s">
        <v>126</v>
      </c>
      <c r="B36" s="105">
        <v>41869</v>
      </c>
      <c r="C36" s="106" t="s">
        <v>154</v>
      </c>
      <c r="D36" s="29" t="s">
        <v>18</v>
      </c>
      <c r="E36" s="29">
        <v>30000</v>
      </c>
      <c r="F36" s="29">
        <v>5000</v>
      </c>
      <c r="G36" s="29">
        <v>21800</v>
      </c>
      <c r="H36" s="29">
        <v>600</v>
      </c>
      <c r="I36" s="29">
        <v>1485.52583</v>
      </c>
      <c r="J36" s="96">
        <v>117.3116</v>
      </c>
      <c r="K36" s="29">
        <f>60422.44419+I36</f>
        <v>61907.970020000001</v>
      </c>
      <c r="L36" s="29">
        <f>9268.64618+J36</f>
        <v>9385.9577800000006</v>
      </c>
      <c r="M36" s="107"/>
      <c r="N36" s="42" t="s">
        <v>94</v>
      </c>
    </row>
    <row r="37" spans="1:16" ht="60.75" customHeight="1">
      <c r="A37" s="143" t="s">
        <v>171</v>
      </c>
      <c r="B37" s="55">
        <v>40227</v>
      </c>
      <c r="C37" s="55">
        <v>44926</v>
      </c>
      <c r="D37" s="96" t="s">
        <v>24</v>
      </c>
      <c r="E37" s="96">
        <v>3000</v>
      </c>
      <c r="F37" s="96">
        <v>4000</v>
      </c>
      <c r="G37" s="144">
        <v>2000</v>
      </c>
      <c r="H37" s="144">
        <v>6800</v>
      </c>
      <c r="I37" s="96">
        <v>813.20829000000003</v>
      </c>
      <c r="J37" s="96">
        <v>304.47500000000002</v>
      </c>
      <c r="K37" s="96">
        <f>7762.57654+I37</f>
        <v>8575.7848300000005</v>
      </c>
      <c r="L37" s="96">
        <f>3971.97589+J37</f>
        <v>4276.4508900000001</v>
      </c>
      <c r="M37" s="57" t="s">
        <v>32</v>
      </c>
      <c r="N37" s="94" t="s">
        <v>95</v>
      </c>
    </row>
    <row r="38" spans="1:16" ht="91.5" customHeight="1">
      <c r="A38" s="143" t="s">
        <v>48</v>
      </c>
      <c r="B38" s="55">
        <v>41621</v>
      </c>
      <c r="C38" s="56">
        <v>44926</v>
      </c>
      <c r="D38" s="96" t="s">
        <v>24</v>
      </c>
      <c r="E38" s="96">
        <v>20000</v>
      </c>
      <c r="F38" s="96">
        <v>2000</v>
      </c>
      <c r="G38" s="144">
        <v>3300</v>
      </c>
      <c r="H38" s="144">
        <v>1400</v>
      </c>
      <c r="I38" s="96">
        <v>16.656780000000001</v>
      </c>
      <c r="J38" s="96"/>
      <c r="K38" s="62">
        <f>8393.24581+I38</f>
        <v>8409.9025899999997</v>
      </c>
      <c r="L38" s="96">
        <f>8507.11102+J38</f>
        <v>8507.1110200000003</v>
      </c>
      <c r="M38" s="57" t="s">
        <v>40</v>
      </c>
      <c r="N38" s="94" t="s">
        <v>96</v>
      </c>
    </row>
    <row r="39" spans="1:16" ht="87" customHeight="1">
      <c r="A39" s="207" t="s">
        <v>16</v>
      </c>
      <c r="B39" s="206">
        <v>40350</v>
      </c>
      <c r="C39" s="206">
        <v>44196</v>
      </c>
      <c r="D39" s="96" t="s">
        <v>17</v>
      </c>
      <c r="E39" s="96">
        <f>57986+10639</f>
        <v>68625</v>
      </c>
      <c r="F39" s="198"/>
      <c r="G39" s="214"/>
      <c r="H39" s="198"/>
      <c r="I39" s="198">
        <v>169.81299999999999</v>
      </c>
      <c r="J39" s="198"/>
      <c r="K39" s="201">
        <f>450343.64915+I39</f>
        <v>450513.46215000004</v>
      </c>
      <c r="L39" s="198"/>
      <c r="M39" s="213" t="s">
        <v>33</v>
      </c>
      <c r="N39" s="208" t="s">
        <v>199</v>
      </c>
    </row>
    <row r="40" spans="1:16" ht="85.5" customHeight="1">
      <c r="A40" s="207"/>
      <c r="B40" s="206"/>
      <c r="C40" s="206"/>
      <c r="D40" s="96" t="s">
        <v>18</v>
      </c>
      <c r="E40" s="96">
        <f>48886+73000+20000</f>
        <v>141886</v>
      </c>
      <c r="F40" s="198"/>
      <c r="G40" s="215"/>
      <c r="H40" s="198"/>
      <c r="I40" s="198"/>
      <c r="J40" s="198"/>
      <c r="K40" s="202"/>
      <c r="L40" s="198"/>
      <c r="M40" s="213"/>
      <c r="N40" s="208"/>
    </row>
    <row r="41" spans="1:16" ht="46.5" customHeight="1">
      <c r="A41" s="143" t="s">
        <v>45</v>
      </c>
      <c r="B41" s="55">
        <v>42223</v>
      </c>
      <c r="C41" s="55">
        <v>44926</v>
      </c>
      <c r="D41" s="96" t="s">
        <v>18</v>
      </c>
      <c r="E41" s="96">
        <v>60000</v>
      </c>
      <c r="F41" s="96"/>
      <c r="G41" s="144">
        <v>20700</v>
      </c>
      <c r="H41" s="144"/>
      <c r="I41" s="96">
        <v>1562.5523700000001</v>
      </c>
      <c r="J41" s="96"/>
      <c r="K41" s="96">
        <f>55919.17957+I41</f>
        <v>57481.731939999998</v>
      </c>
      <c r="L41" s="96"/>
      <c r="M41" s="57"/>
      <c r="N41" s="94" t="s">
        <v>97</v>
      </c>
    </row>
    <row r="42" spans="1:16" s="9" customFormat="1" ht="47.25" customHeight="1">
      <c r="A42" s="143" t="s">
        <v>46</v>
      </c>
      <c r="B42" s="55">
        <v>42136</v>
      </c>
      <c r="C42" s="55">
        <v>44328</v>
      </c>
      <c r="D42" s="96" t="s">
        <v>24</v>
      </c>
      <c r="E42" s="96">
        <v>4300</v>
      </c>
      <c r="F42" s="96">
        <v>1843</v>
      </c>
      <c r="G42" s="144">
        <v>3135</v>
      </c>
      <c r="H42" s="144">
        <v>365</v>
      </c>
      <c r="I42" s="96"/>
      <c r="J42" s="96"/>
      <c r="K42" s="96">
        <f>967.42234+I42</f>
        <v>967.42233999999996</v>
      </c>
      <c r="L42" s="96"/>
      <c r="M42" s="57"/>
      <c r="N42" s="94" t="s">
        <v>98</v>
      </c>
    </row>
    <row r="43" spans="1:16" s="3" customFormat="1" ht="57.75" customHeight="1">
      <c r="A43" s="143" t="s">
        <v>89</v>
      </c>
      <c r="B43" s="55">
        <v>43285</v>
      </c>
      <c r="C43" s="56" t="s">
        <v>155</v>
      </c>
      <c r="D43" s="96" t="s">
        <v>24</v>
      </c>
      <c r="E43" s="96">
        <v>2830</v>
      </c>
      <c r="F43" s="96">
        <v>1870</v>
      </c>
      <c r="G43" s="144">
        <v>1000</v>
      </c>
      <c r="H43" s="144">
        <v>900</v>
      </c>
      <c r="I43" s="96">
        <v>777.93499999999995</v>
      </c>
      <c r="J43" s="96">
        <v>106.92699</v>
      </c>
      <c r="K43" s="96">
        <f>2824.88467+I43</f>
        <v>3602.8196699999999</v>
      </c>
      <c r="L43" s="96">
        <f>3219.08197+J43</f>
        <v>3326.0089600000001</v>
      </c>
      <c r="M43" s="57" t="s">
        <v>34</v>
      </c>
      <c r="N43" s="94" t="s">
        <v>200</v>
      </c>
    </row>
    <row r="44" spans="1:16" s="3" customFormat="1" ht="78" customHeight="1">
      <c r="A44" s="143" t="s">
        <v>51</v>
      </c>
      <c r="B44" s="55">
        <v>42411</v>
      </c>
      <c r="C44" s="55">
        <v>45291</v>
      </c>
      <c r="D44" s="96" t="s">
        <v>24</v>
      </c>
      <c r="E44" s="96">
        <v>100000</v>
      </c>
      <c r="F44" s="96"/>
      <c r="G44" s="144">
        <v>23500</v>
      </c>
      <c r="H44" s="144"/>
      <c r="I44" s="96">
        <v>6022.6933600000002</v>
      </c>
      <c r="J44" s="96"/>
      <c r="K44" s="96">
        <f>235951.59098+I44</f>
        <v>241974.28434000001</v>
      </c>
      <c r="L44" s="96"/>
      <c r="M44" s="57"/>
      <c r="N44" s="94" t="s">
        <v>99</v>
      </c>
    </row>
    <row r="45" spans="1:16" s="3" customFormat="1" ht="81.75" customHeight="1">
      <c r="A45" s="148" t="s">
        <v>127</v>
      </c>
      <c r="B45" s="154">
        <v>43805</v>
      </c>
      <c r="C45" s="154">
        <v>45291</v>
      </c>
      <c r="D45" s="154" t="s">
        <v>24</v>
      </c>
      <c r="E45" s="155">
        <v>13550</v>
      </c>
      <c r="F45" s="96"/>
      <c r="G45" s="144">
        <v>1600</v>
      </c>
      <c r="H45" s="144"/>
      <c r="I45" s="96">
        <v>136.83524</v>
      </c>
      <c r="J45" s="96"/>
      <c r="K45" s="97">
        <f>733.79052+I45</f>
        <v>870.62576000000001</v>
      </c>
      <c r="L45" s="96"/>
      <c r="M45" s="57"/>
      <c r="N45" s="94" t="s">
        <v>132</v>
      </c>
    </row>
    <row r="46" spans="1:16" s="3" customFormat="1" ht="48" customHeight="1">
      <c r="A46" s="246" t="s">
        <v>181</v>
      </c>
      <c r="B46" s="156"/>
      <c r="C46" s="157"/>
      <c r="D46" s="154" t="s">
        <v>24</v>
      </c>
      <c r="E46" s="158"/>
      <c r="F46" s="129"/>
      <c r="G46" s="144">
        <v>31400</v>
      </c>
      <c r="H46" s="144"/>
      <c r="I46" s="153">
        <v>3448.0725000000002</v>
      </c>
      <c r="J46" s="153"/>
      <c r="K46" s="153">
        <f>5871.65395+I46</f>
        <v>9319.7264500000001</v>
      </c>
      <c r="L46" s="129"/>
      <c r="M46" s="132"/>
      <c r="N46" s="131"/>
    </row>
    <row r="47" spans="1:16" s="3" customFormat="1" ht="43.5" customHeight="1">
      <c r="A47" s="143" t="s">
        <v>128</v>
      </c>
      <c r="B47" s="55">
        <v>43798</v>
      </c>
      <c r="C47" s="55">
        <v>45280</v>
      </c>
      <c r="D47" s="96" t="s">
        <v>24</v>
      </c>
      <c r="E47" s="96">
        <v>17000</v>
      </c>
      <c r="F47" s="96"/>
      <c r="G47" s="144">
        <v>25200</v>
      </c>
      <c r="H47" s="144"/>
      <c r="I47" s="96">
        <v>16296.71974</v>
      </c>
      <c r="J47" s="96"/>
      <c r="K47" s="96">
        <f>43715.90635+I47</f>
        <v>60012.626089999998</v>
      </c>
      <c r="L47" s="96"/>
      <c r="M47" s="57"/>
      <c r="N47" s="94" t="s">
        <v>178</v>
      </c>
    </row>
    <row r="48" spans="1:16" s="3" customFormat="1" ht="47.25" customHeight="1">
      <c r="A48" s="143" t="s">
        <v>129</v>
      </c>
      <c r="B48" s="55">
        <v>44025</v>
      </c>
      <c r="C48" s="55">
        <v>45291</v>
      </c>
      <c r="D48" s="96" t="s">
        <v>24</v>
      </c>
      <c r="E48" s="96">
        <v>5000</v>
      </c>
      <c r="F48" s="96"/>
      <c r="G48" s="144">
        <v>3900</v>
      </c>
      <c r="H48" s="144"/>
      <c r="I48" s="96">
        <v>3112.97696</v>
      </c>
      <c r="J48" s="96"/>
      <c r="K48" s="96">
        <f>6474.36913+I48</f>
        <v>9587.3460899999991</v>
      </c>
      <c r="L48" s="96"/>
      <c r="M48" s="57"/>
      <c r="N48" s="94" t="s">
        <v>177</v>
      </c>
    </row>
    <row r="49" spans="1:15" s="3" customFormat="1" ht="68.25" customHeight="1">
      <c r="A49" s="143" t="s">
        <v>90</v>
      </c>
      <c r="B49" s="55">
        <v>43035</v>
      </c>
      <c r="C49" s="55">
        <v>44925</v>
      </c>
      <c r="D49" s="96" t="s">
        <v>24</v>
      </c>
      <c r="E49" s="96">
        <v>30000</v>
      </c>
      <c r="F49" s="96">
        <v>2000</v>
      </c>
      <c r="G49" s="144">
        <v>4100</v>
      </c>
      <c r="H49" s="144">
        <v>1000</v>
      </c>
      <c r="I49" s="96"/>
      <c r="J49" s="96"/>
      <c r="K49" s="96">
        <f>1400.08206+I49</f>
        <v>1400.08206</v>
      </c>
      <c r="L49" s="96">
        <f>1812.69036+J49</f>
        <v>1812.6903600000001</v>
      </c>
      <c r="M49" s="57"/>
      <c r="N49" s="94" t="s">
        <v>113</v>
      </c>
    </row>
    <row r="50" spans="1:15" s="3" customFormat="1" ht="115.5" customHeight="1" thickBot="1">
      <c r="A50" s="50" t="s">
        <v>91</v>
      </c>
      <c r="B50" s="108" t="s">
        <v>100</v>
      </c>
      <c r="C50" s="108" t="s">
        <v>111</v>
      </c>
      <c r="D50" s="35" t="s">
        <v>24</v>
      </c>
      <c r="E50" s="35">
        <v>15000</v>
      </c>
      <c r="F50" s="35"/>
      <c r="G50" s="35">
        <v>25000</v>
      </c>
      <c r="H50" s="35"/>
      <c r="I50" s="35"/>
      <c r="J50" s="35"/>
      <c r="K50" s="96">
        <f>495.57+I50</f>
        <v>495.57</v>
      </c>
      <c r="L50" s="35"/>
      <c r="M50" s="109"/>
      <c r="N50" s="43" t="s">
        <v>160</v>
      </c>
    </row>
    <row r="51" spans="1:15" s="7" customFormat="1" ht="37.15" customHeight="1" thickBot="1">
      <c r="A51" s="170" t="s">
        <v>9</v>
      </c>
      <c r="B51" s="171"/>
      <c r="C51" s="171"/>
      <c r="D51" s="171"/>
      <c r="E51" s="171"/>
      <c r="F51" s="172"/>
      <c r="G51" s="34">
        <f>G53+G58+G60+G61+G59+G57+G62+G52+G55+G56</f>
        <v>167050</v>
      </c>
      <c r="H51" s="34">
        <f t="shared" ref="H51:L51" si="2">H53+H58+H60+H61+H59+H57+H62+H52+H55+H56</f>
        <v>19800</v>
      </c>
      <c r="I51" s="34">
        <f t="shared" si="2"/>
        <v>19182.925619999998</v>
      </c>
      <c r="J51" s="34">
        <f t="shared" si="2"/>
        <v>0</v>
      </c>
      <c r="K51" s="34">
        <f t="shared" si="2"/>
        <v>261596.94107</v>
      </c>
      <c r="L51" s="34">
        <f t="shared" si="2"/>
        <v>123291.33444000001</v>
      </c>
      <c r="M51" s="104"/>
      <c r="N51" s="41"/>
      <c r="O51" s="11"/>
    </row>
    <row r="52" spans="1:15" s="13" customFormat="1" ht="47.25" customHeight="1">
      <c r="A52" s="247" t="s">
        <v>168</v>
      </c>
      <c r="B52" s="136" t="s">
        <v>102</v>
      </c>
      <c r="C52" s="136" t="s">
        <v>182</v>
      </c>
      <c r="D52" s="134" t="s">
        <v>24</v>
      </c>
      <c r="E52" s="134">
        <v>17740</v>
      </c>
      <c r="F52" s="134"/>
      <c r="G52" s="134">
        <v>11950</v>
      </c>
      <c r="H52" s="134"/>
      <c r="I52" s="134"/>
      <c r="J52" s="134"/>
      <c r="K52" s="134">
        <f>I52</f>
        <v>0</v>
      </c>
      <c r="L52" s="134"/>
      <c r="M52" s="76"/>
      <c r="N52" s="152" t="s">
        <v>183</v>
      </c>
    </row>
    <row r="53" spans="1:15" ht="228" customHeight="1">
      <c r="A53" s="169" t="s">
        <v>1</v>
      </c>
      <c r="B53" s="219">
        <v>40673</v>
      </c>
      <c r="C53" s="205">
        <v>44284</v>
      </c>
      <c r="D53" s="86" t="s">
        <v>17</v>
      </c>
      <c r="E53" s="86">
        <f>51343+25047+64205+23005</f>
        <v>163600</v>
      </c>
      <c r="F53" s="181"/>
      <c r="G53" s="181">
        <v>129500</v>
      </c>
      <c r="H53" s="181"/>
      <c r="I53" s="181">
        <v>12273.20995</v>
      </c>
      <c r="J53" s="216"/>
      <c r="K53" s="181"/>
      <c r="L53" s="181"/>
      <c r="M53" s="102" t="s">
        <v>3</v>
      </c>
      <c r="N53" s="183" t="s">
        <v>201</v>
      </c>
    </row>
    <row r="54" spans="1:15" ht="350.25" customHeight="1">
      <c r="A54" s="169"/>
      <c r="B54" s="219"/>
      <c r="C54" s="205"/>
      <c r="D54" s="86" t="s">
        <v>18</v>
      </c>
      <c r="E54" s="86">
        <f>108000+43000+99000</f>
        <v>250000</v>
      </c>
      <c r="F54" s="181"/>
      <c r="G54" s="181"/>
      <c r="H54" s="181"/>
      <c r="I54" s="181"/>
      <c r="J54" s="216"/>
      <c r="K54" s="181"/>
      <c r="L54" s="181"/>
      <c r="M54" s="102"/>
      <c r="N54" s="184"/>
    </row>
    <row r="55" spans="1:15" s="13" customFormat="1" ht="69.5" customHeight="1">
      <c r="A55" s="248" t="s">
        <v>169</v>
      </c>
      <c r="B55" s="249" t="s">
        <v>184</v>
      </c>
      <c r="C55" s="250" t="s">
        <v>185</v>
      </c>
      <c r="D55" s="251" t="s">
        <v>24</v>
      </c>
      <c r="E55" s="251">
        <v>130000</v>
      </c>
      <c r="F55" s="138"/>
      <c r="G55" s="138">
        <v>4100</v>
      </c>
      <c r="H55" s="138"/>
      <c r="I55" s="138"/>
      <c r="J55" s="142"/>
      <c r="K55" s="138">
        <f>I55</f>
        <v>0</v>
      </c>
      <c r="L55" s="138"/>
      <c r="M55" s="145"/>
      <c r="N55" s="161" t="s">
        <v>195</v>
      </c>
    </row>
    <row r="56" spans="1:15" s="13" customFormat="1" ht="82.5" customHeight="1">
      <c r="A56" s="248" t="s">
        <v>170</v>
      </c>
      <c r="B56" s="249" t="s">
        <v>186</v>
      </c>
      <c r="C56" s="250" t="s">
        <v>187</v>
      </c>
      <c r="D56" s="251" t="s">
        <v>24</v>
      </c>
      <c r="E56" s="251">
        <v>58000</v>
      </c>
      <c r="F56" s="138"/>
      <c r="G56" s="138">
        <v>11500</v>
      </c>
      <c r="H56" s="138"/>
      <c r="I56" s="138"/>
      <c r="J56" s="142"/>
      <c r="K56" s="138">
        <f>I56</f>
        <v>0</v>
      </c>
      <c r="L56" s="138"/>
      <c r="M56" s="145"/>
      <c r="N56" s="161" t="s">
        <v>194</v>
      </c>
    </row>
    <row r="57" spans="1:15" s="13" customFormat="1" ht="63" customHeight="1">
      <c r="A57" s="248" t="s">
        <v>83</v>
      </c>
      <c r="B57" s="252" t="s">
        <v>101</v>
      </c>
      <c r="C57" s="252" t="s">
        <v>102</v>
      </c>
      <c r="D57" s="253" t="s">
        <v>24</v>
      </c>
      <c r="E57" s="151">
        <v>100</v>
      </c>
      <c r="F57" s="86"/>
      <c r="G57" s="138"/>
      <c r="H57" s="138">
        <v>6000</v>
      </c>
      <c r="I57" s="86"/>
      <c r="J57" s="87"/>
      <c r="K57" s="86">
        <f>35.07802+I57</f>
        <v>35.078020000000002</v>
      </c>
      <c r="L57" s="86"/>
      <c r="M57" s="102"/>
      <c r="N57" s="89" t="s">
        <v>103</v>
      </c>
    </row>
    <row r="58" spans="1:15" ht="190.5" customHeight="1">
      <c r="A58" s="147" t="s">
        <v>58</v>
      </c>
      <c r="B58" s="91">
        <v>40773</v>
      </c>
      <c r="C58" s="91">
        <v>44561</v>
      </c>
      <c r="D58" s="87" t="s">
        <v>24</v>
      </c>
      <c r="E58" s="87">
        <f>2988.339+4000+20000</f>
        <v>26988.339</v>
      </c>
      <c r="F58" s="87">
        <f>4500+6728.536+9000+4000+7000</f>
        <v>31228.536</v>
      </c>
      <c r="G58" s="86"/>
      <c r="H58" s="86"/>
      <c r="I58" s="87"/>
      <c r="J58" s="87"/>
      <c r="K58" s="86">
        <f>75035.11228+I58</f>
        <v>75035.112280000001</v>
      </c>
      <c r="L58" s="87">
        <f>65489.76346+J58</f>
        <v>65489.763460000002</v>
      </c>
      <c r="M58" s="86" t="s">
        <v>4</v>
      </c>
      <c r="N58" s="95" t="s">
        <v>133</v>
      </c>
    </row>
    <row r="59" spans="1:15" ht="49.5" customHeight="1">
      <c r="A59" s="147" t="s">
        <v>66</v>
      </c>
      <c r="B59" s="91">
        <v>42360</v>
      </c>
      <c r="C59" s="91">
        <v>44012</v>
      </c>
      <c r="D59" s="86" t="s">
        <v>24</v>
      </c>
      <c r="E59" s="86">
        <v>30000</v>
      </c>
      <c r="F59" s="86">
        <v>2000</v>
      </c>
      <c r="G59" s="86">
        <v>10000</v>
      </c>
      <c r="H59" s="86">
        <v>1500</v>
      </c>
      <c r="I59" s="86">
        <v>5953.5949300000002</v>
      </c>
      <c r="J59" s="86"/>
      <c r="K59" s="86">
        <f>83054.31252+I59</f>
        <v>89007.907450000013</v>
      </c>
      <c r="L59" s="86">
        <f>5731.69474+J59</f>
        <v>5731.6947399999999</v>
      </c>
      <c r="M59" s="86"/>
      <c r="N59" s="95" t="s">
        <v>104</v>
      </c>
    </row>
    <row r="60" spans="1:15" ht="43.5" customHeight="1">
      <c r="A60" s="147" t="s">
        <v>69</v>
      </c>
      <c r="B60" s="91">
        <v>41506</v>
      </c>
      <c r="C60" s="103">
        <v>43332</v>
      </c>
      <c r="D60" s="86" t="s">
        <v>24</v>
      </c>
      <c r="E60" s="86">
        <v>40000</v>
      </c>
      <c r="F60" s="86">
        <v>8000</v>
      </c>
      <c r="G60" s="86"/>
      <c r="H60" s="86"/>
      <c r="I60" s="86"/>
      <c r="J60" s="87"/>
      <c r="K60" s="86">
        <f>94567.08773+I60</f>
        <v>94567.087729999999</v>
      </c>
      <c r="L60" s="86">
        <f>19362.96834+J60</f>
        <v>19362.968339999999</v>
      </c>
      <c r="M60" s="102" t="s">
        <v>33</v>
      </c>
      <c r="N60" s="95" t="s">
        <v>105</v>
      </c>
    </row>
    <row r="61" spans="1:15" ht="57" customHeight="1">
      <c r="A61" s="147" t="s">
        <v>29</v>
      </c>
      <c r="B61" s="91">
        <v>41480</v>
      </c>
      <c r="C61" s="103" t="s">
        <v>156</v>
      </c>
      <c r="D61" s="86" t="s">
        <v>18</v>
      </c>
      <c r="E61" s="86"/>
      <c r="F61" s="86">
        <v>10052.155000000001</v>
      </c>
      <c r="G61" s="86"/>
      <c r="H61" s="86"/>
      <c r="I61" s="86"/>
      <c r="J61" s="87"/>
      <c r="K61" s="86"/>
      <c r="L61" s="86">
        <f>26883.57658+J61</f>
        <v>26883.576580000001</v>
      </c>
      <c r="M61" s="102" t="s">
        <v>33</v>
      </c>
      <c r="N61" s="95" t="s">
        <v>202</v>
      </c>
    </row>
    <row r="62" spans="1:15" s="13" customFormat="1" ht="134" customHeight="1" thickBot="1">
      <c r="A62" s="147" t="s">
        <v>149</v>
      </c>
      <c r="B62" s="73">
        <v>43336</v>
      </c>
      <c r="C62" s="73">
        <v>45656</v>
      </c>
      <c r="D62" s="30" t="s">
        <v>24</v>
      </c>
      <c r="E62" s="30">
        <v>40000</v>
      </c>
      <c r="F62" s="30">
        <f>3000+6965</f>
        <v>9965</v>
      </c>
      <c r="G62" s="30"/>
      <c r="H62" s="30">
        <v>12300</v>
      </c>
      <c r="I62" s="30">
        <v>956.12073999999996</v>
      </c>
      <c r="J62" s="74"/>
      <c r="K62" s="30">
        <f>1995.63485+I62</f>
        <v>2951.7555899999998</v>
      </c>
      <c r="L62" s="30">
        <f>5823.33132+J62</f>
        <v>5823.3313200000002</v>
      </c>
      <c r="M62" s="75"/>
      <c r="N62" s="245" t="s">
        <v>203</v>
      </c>
    </row>
    <row r="63" spans="1:15" s="7" customFormat="1" ht="30" customHeight="1" thickBot="1">
      <c r="A63" s="170" t="s">
        <v>6</v>
      </c>
      <c r="B63" s="171"/>
      <c r="C63" s="171"/>
      <c r="D63" s="171"/>
      <c r="E63" s="171"/>
      <c r="F63" s="172"/>
      <c r="G63" s="34">
        <f>G64+G65+G66+G67+G72+G68+G69+G70+G71+G73+G75+G74</f>
        <v>73300</v>
      </c>
      <c r="H63" s="34">
        <f t="shared" ref="H63:L63" si="3">H64+H65+H66+H67+H72+H68+H69+H70+H71+H73+H75+H74</f>
        <v>3200</v>
      </c>
      <c r="I63" s="34">
        <f t="shared" si="3"/>
        <v>18489.79549</v>
      </c>
      <c r="J63" s="34">
        <f t="shared" si="3"/>
        <v>356.14980000000003</v>
      </c>
      <c r="K63" s="34">
        <f t="shared" si="3"/>
        <v>376860.88819500001</v>
      </c>
      <c r="L63" s="34">
        <f t="shared" si="3"/>
        <v>20950.680079999998</v>
      </c>
      <c r="M63" s="104"/>
      <c r="N63" s="41"/>
    </row>
    <row r="64" spans="1:15" ht="96.75" customHeight="1">
      <c r="A64" s="146" t="s">
        <v>88</v>
      </c>
      <c r="B64" s="92">
        <v>43105</v>
      </c>
      <c r="C64" s="92" t="s">
        <v>87</v>
      </c>
      <c r="D64" s="85" t="s">
        <v>24</v>
      </c>
      <c r="E64" s="85">
        <v>28000</v>
      </c>
      <c r="F64" s="85">
        <v>7000</v>
      </c>
      <c r="G64" s="139">
        <v>30000</v>
      </c>
      <c r="H64" s="139">
        <v>2000</v>
      </c>
      <c r="I64" s="85">
        <v>7628.2343600000004</v>
      </c>
      <c r="J64" s="85"/>
      <c r="K64" s="85">
        <f>59331.06719+I64</f>
        <v>66959.301550000004</v>
      </c>
      <c r="L64" s="85"/>
      <c r="M64" s="110" t="s">
        <v>5</v>
      </c>
      <c r="N64" s="44" t="s">
        <v>135</v>
      </c>
    </row>
    <row r="65" spans="1:14" ht="52.15" customHeight="1">
      <c r="A65" s="52" t="s">
        <v>70</v>
      </c>
      <c r="B65" s="164">
        <v>41572</v>
      </c>
      <c r="C65" s="164">
        <v>44560</v>
      </c>
      <c r="D65" s="188" t="s">
        <v>24</v>
      </c>
      <c r="E65" s="188">
        <f>25200+35000</f>
        <v>60200</v>
      </c>
      <c r="F65" s="86">
        <v>8000</v>
      </c>
      <c r="G65" s="138">
        <v>1800</v>
      </c>
      <c r="H65" s="138"/>
      <c r="I65" s="86"/>
      <c r="J65" s="86"/>
      <c r="K65" s="86">
        <f>94809.776625+I65</f>
        <v>94809.776624999999</v>
      </c>
      <c r="L65" s="86">
        <v>20950.680079999998</v>
      </c>
      <c r="M65" s="102" t="s">
        <v>26</v>
      </c>
      <c r="N65" s="212" t="s">
        <v>137</v>
      </c>
    </row>
    <row r="66" spans="1:14" s="9" customFormat="1" ht="44.25" customHeight="1">
      <c r="A66" s="52" t="s">
        <v>71</v>
      </c>
      <c r="B66" s="165"/>
      <c r="C66" s="165"/>
      <c r="D66" s="189"/>
      <c r="E66" s="189"/>
      <c r="F66" s="86"/>
      <c r="G66" s="138">
        <v>3800</v>
      </c>
      <c r="H66" s="138"/>
      <c r="I66" s="86"/>
      <c r="J66" s="86"/>
      <c r="K66" s="86">
        <f>54623.99415+I66</f>
        <v>54623.994149999999</v>
      </c>
      <c r="L66" s="86"/>
      <c r="M66" s="102"/>
      <c r="N66" s="212"/>
    </row>
    <row r="67" spans="1:14" ht="34.5" customHeight="1">
      <c r="A67" s="147" t="s">
        <v>62</v>
      </c>
      <c r="B67" s="180"/>
      <c r="C67" s="180"/>
      <c r="D67" s="196"/>
      <c r="E67" s="196"/>
      <c r="F67" s="86"/>
      <c r="G67" s="138"/>
      <c r="H67" s="138"/>
      <c r="I67" s="86"/>
      <c r="J67" s="87"/>
      <c r="K67" s="86">
        <f>5120.67471+I67</f>
        <v>5120.6747100000002</v>
      </c>
      <c r="L67" s="86"/>
      <c r="M67" s="102"/>
      <c r="N67" s="60" t="s">
        <v>136</v>
      </c>
    </row>
    <row r="68" spans="1:14" ht="41.25" customHeight="1">
      <c r="A68" s="147" t="s">
        <v>52</v>
      </c>
      <c r="B68" s="164">
        <v>41885</v>
      </c>
      <c r="C68" s="164">
        <v>44378</v>
      </c>
      <c r="D68" s="86" t="s">
        <v>18</v>
      </c>
      <c r="E68" s="181">
        <v>60000</v>
      </c>
      <c r="F68" s="86"/>
      <c r="G68" s="138">
        <v>6000</v>
      </c>
      <c r="H68" s="138"/>
      <c r="I68" s="86">
        <v>6552.22595</v>
      </c>
      <c r="J68" s="87"/>
      <c r="K68" s="86">
        <f>122176.4497+I68</f>
        <v>128728.67564999999</v>
      </c>
      <c r="L68" s="86"/>
      <c r="M68" s="102"/>
      <c r="N68" s="95" t="s">
        <v>107</v>
      </c>
    </row>
    <row r="69" spans="1:14" ht="42.75" customHeight="1">
      <c r="A69" s="147" t="s">
        <v>63</v>
      </c>
      <c r="B69" s="180"/>
      <c r="C69" s="180"/>
      <c r="D69" s="86" t="s">
        <v>18</v>
      </c>
      <c r="E69" s="182"/>
      <c r="F69" s="86"/>
      <c r="G69" s="138"/>
      <c r="H69" s="138"/>
      <c r="I69" s="86"/>
      <c r="J69" s="87"/>
      <c r="K69" s="86">
        <f>1935.69256+I69</f>
        <v>1935.69256</v>
      </c>
      <c r="L69" s="86"/>
      <c r="M69" s="102"/>
      <c r="N69" s="95" t="s">
        <v>138</v>
      </c>
    </row>
    <row r="70" spans="1:14" ht="153.75" customHeight="1">
      <c r="A70" s="147" t="s">
        <v>119</v>
      </c>
      <c r="B70" s="91"/>
      <c r="C70" s="91"/>
      <c r="D70" s="86" t="s">
        <v>24</v>
      </c>
      <c r="E70" s="86"/>
      <c r="F70" s="86"/>
      <c r="G70" s="138">
        <v>6000</v>
      </c>
      <c r="H70" s="138"/>
      <c r="I70" s="86"/>
      <c r="J70" s="87"/>
      <c r="K70" s="79">
        <f>I70</f>
        <v>0</v>
      </c>
      <c r="L70" s="79"/>
      <c r="M70" s="102"/>
      <c r="N70" s="60" t="s">
        <v>74</v>
      </c>
    </row>
    <row r="71" spans="1:14" ht="68.25" customHeight="1">
      <c r="A71" s="147" t="s">
        <v>64</v>
      </c>
      <c r="B71" s="91"/>
      <c r="C71" s="91"/>
      <c r="D71" s="86"/>
      <c r="E71" s="86"/>
      <c r="F71" s="86"/>
      <c r="G71" s="138">
        <v>8000</v>
      </c>
      <c r="H71" s="138"/>
      <c r="I71" s="86">
        <v>4309.33518</v>
      </c>
      <c r="J71" s="87"/>
      <c r="K71" s="98">
        <f>20373.43777+I71</f>
        <v>24682.772949999999</v>
      </c>
      <c r="L71" s="79"/>
      <c r="M71" s="102"/>
      <c r="N71" s="95" t="s">
        <v>68</v>
      </c>
    </row>
    <row r="72" spans="1:14" ht="84.75" customHeight="1">
      <c r="A72" s="147" t="s">
        <v>61</v>
      </c>
      <c r="B72" s="164">
        <v>42838</v>
      </c>
      <c r="C72" s="178">
        <v>44742</v>
      </c>
      <c r="D72" s="186" t="s">
        <v>24</v>
      </c>
      <c r="E72" s="188">
        <v>125000</v>
      </c>
      <c r="F72" s="86">
        <v>9900</v>
      </c>
      <c r="G72" s="138">
        <v>6700</v>
      </c>
      <c r="H72" s="138">
        <v>1200</v>
      </c>
      <c r="I72" s="86"/>
      <c r="J72" s="87">
        <v>356.14980000000003</v>
      </c>
      <c r="K72" s="79">
        <f>I72</f>
        <v>0</v>
      </c>
      <c r="L72" s="79">
        <v>0</v>
      </c>
      <c r="M72" s="102"/>
      <c r="N72" s="60" t="s">
        <v>106</v>
      </c>
    </row>
    <row r="73" spans="1:14" ht="80.25" customHeight="1">
      <c r="A73" s="147" t="s">
        <v>65</v>
      </c>
      <c r="B73" s="165"/>
      <c r="C73" s="185"/>
      <c r="D73" s="187"/>
      <c r="E73" s="189"/>
      <c r="F73" s="86"/>
      <c r="G73" s="138">
        <v>6000</v>
      </c>
      <c r="H73" s="138"/>
      <c r="I73" s="86"/>
      <c r="J73" s="87"/>
      <c r="K73" s="79">
        <f t="shared" ref="K73:K75" si="4">I73</f>
        <v>0</v>
      </c>
      <c r="L73" s="79"/>
      <c r="M73" s="102"/>
      <c r="N73" s="60" t="s">
        <v>167</v>
      </c>
    </row>
    <row r="74" spans="1:14" s="13" customFormat="1" ht="38" customHeight="1">
      <c r="A74" s="147" t="s">
        <v>93</v>
      </c>
      <c r="B74" s="165"/>
      <c r="C74" s="185"/>
      <c r="D74" s="187"/>
      <c r="E74" s="189"/>
      <c r="F74" s="86"/>
      <c r="G74" s="138"/>
      <c r="H74" s="138"/>
      <c r="I74" s="86"/>
      <c r="J74" s="87"/>
      <c r="K74" s="79">
        <f t="shared" si="4"/>
        <v>0</v>
      </c>
      <c r="L74" s="79"/>
      <c r="M74" s="102"/>
      <c r="N74" s="60" t="s">
        <v>112</v>
      </c>
    </row>
    <row r="75" spans="1:14" s="13" customFormat="1" ht="43.5" customHeight="1" thickBot="1">
      <c r="A75" s="147" t="s">
        <v>92</v>
      </c>
      <c r="B75" s="55"/>
      <c r="C75" s="55"/>
      <c r="D75" s="86" t="s">
        <v>24</v>
      </c>
      <c r="E75" s="86">
        <v>100000</v>
      </c>
      <c r="F75" s="86"/>
      <c r="G75" s="138">
        <v>5000</v>
      </c>
      <c r="H75" s="138"/>
      <c r="I75" s="86"/>
      <c r="J75" s="87"/>
      <c r="K75" s="79">
        <f t="shared" si="4"/>
        <v>0</v>
      </c>
      <c r="L75" s="79"/>
      <c r="M75" s="102"/>
      <c r="N75" s="60" t="s">
        <v>112</v>
      </c>
    </row>
    <row r="76" spans="1:14" s="13" customFormat="1" ht="38.25" customHeight="1" thickBot="1">
      <c r="A76" s="170" t="s">
        <v>11</v>
      </c>
      <c r="B76" s="171"/>
      <c r="C76" s="171"/>
      <c r="D76" s="171"/>
      <c r="E76" s="171"/>
      <c r="F76" s="172"/>
      <c r="G76" s="34">
        <f>G77+G81+G82+G80</f>
        <v>54380</v>
      </c>
      <c r="H76" s="34">
        <f t="shared" ref="H76:L76" si="5">H77+H81+H82+H80</f>
        <v>0</v>
      </c>
      <c r="I76" s="34">
        <f t="shared" si="5"/>
        <v>18450.345220000003</v>
      </c>
      <c r="J76" s="34">
        <f t="shared" si="5"/>
        <v>0</v>
      </c>
      <c r="K76" s="34">
        <f t="shared" si="5"/>
        <v>130598.793936</v>
      </c>
      <c r="L76" s="34">
        <f t="shared" si="5"/>
        <v>14218.655699999999</v>
      </c>
      <c r="M76" s="104"/>
      <c r="N76" s="41"/>
    </row>
    <row r="77" spans="1:14" s="13" customFormat="1" ht="60.75" customHeight="1">
      <c r="A77" s="199" t="s">
        <v>43</v>
      </c>
      <c r="B77" s="111">
        <v>42052</v>
      </c>
      <c r="C77" s="58">
        <v>44121</v>
      </c>
      <c r="D77" s="85" t="s">
        <v>17</v>
      </c>
      <c r="E77" s="85">
        <v>8610</v>
      </c>
      <c r="F77" s="85"/>
      <c r="G77" s="203">
        <v>480</v>
      </c>
      <c r="H77" s="203"/>
      <c r="I77" s="203">
        <v>93.626999999999995</v>
      </c>
      <c r="J77" s="203"/>
      <c r="K77" s="203">
        <f>30720.11513+I77</f>
        <v>30813.742129999999</v>
      </c>
      <c r="L77" s="203">
        <v>14218.655699999999</v>
      </c>
      <c r="M77" s="110"/>
      <c r="N77" s="209" t="s">
        <v>161</v>
      </c>
    </row>
    <row r="78" spans="1:14" s="13" customFormat="1" ht="57" customHeight="1">
      <c r="A78" s="169"/>
      <c r="B78" s="103">
        <v>41978</v>
      </c>
      <c r="C78" s="112">
        <v>42735</v>
      </c>
      <c r="D78" s="86" t="s">
        <v>18</v>
      </c>
      <c r="E78" s="86"/>
      <c r="F78" s="86">
        <v>500</v>
      </c>
      <c r="G78" s="181"/>
      <c r="H78" s="181"/>
      <c r="I78" s="181"/>
      <c r="J78" s="181"/>
      <c r="K78" s="181"/>
      <c r="L78" s="181"/>
      <c r="M78" s="102"/>
      <c r="N78" s="210"/>
    </row>
    <row r="79" spans="1:14" s="13" customFormat="1" ht="36" customHeight="1">
      <c r="A79" s="200"/>
      <c r="B79" s="113">
        <v>42052</v>
      </c>
      <c r="C79" s="114">
        <v>44121</v>
      </c>
      <c r="D79" s="93" t="s">
        <v>18</v>
      </c>
      <c r="E79" s="93"/>
      <c r="F79" s="93">
        <v>5300</v>
      </c>
      <c r="G79" s="204"/>
      <c r="H79" s="204"/>
      <c r="I79" s="204"/>
      <c r="J79" s="204"/>
      <c r="K79" s="204"/>
      <c r="L79" s="204"/>
      <c r="M79" s="115"/>
      <c r="N79" s="211"/>
    </row>
    <row r="80" spans="1:14" s="7" customFormat="1" ht="159.5" customHeight="1">
      <c r="A80" s="140" t="s">
        <v>130</v>
      </c>
      <c r="B80" s="84">
        <v>43486</v>
      </c>
      <c r="C80" s="71">
        <v>46022</v>
      </c>
      <c r="D80" s="82" t="s">
        <v>24</v>
      </c>
      <c r="E80" s="82">
        <v>16000</v>
      </c>
      <c r="F80" s="82"/>
      <c r="G80" s="134">
        <v>18500</v>
      </c>
      <c r="H80" s="82"/>
      <c r="I80" s="82">
        <v>4598.1909400000004</v>
      </c>
      <c r="J80" s="82"/>
      <c r="K80" s="82">
        <f>3584.49022+I80</f>
        <v>8182.6811600000001</v>
      </c>
      <c r="L80" s="82"/>
      <c r="M80" s="76"/>
      <c r="N80" s="116" t="s">
        <v>193</v>
      </c>
    </row>
    <row r="81" spans="1:14" s="7" customFormat="1" ht="44.25" customHeight="1">
      <c r="A81" s="176" t="s">
        <v>44</v>
      </c>
      <c r="B81" s="83">
        <v>41964</v>
      </c>
      <c r="C81" s="178">
        <v>44408</v>
      </c>
      <c r="D81" s="87" t="s">
        <v>17</v>
      </c>
      <c r="E81" s="86">
        <v>32400</v>
      </c>
      <c r="F81" s="86"/>
      <c r="G81" s="138">
        <v>20000</v>
      </c>
      <c r="H81" s="86"/>
      <c r="I81" s="86">
        <v>2023.8366900000001</v>
      </c>
      <c r="J81" s="87"/>
      <c r="K81" s="86">
        <f>69926.368196+I81</f>
        <v>71950.204885999992</v>
      </c>
      <c r="L81" s="86"/>
      <c r="M81" s="102"/>
      <c r="N81" s="80" t="s">
        <v>108</v>
      </c>
    </row>
    <row r="82" spans="1:14" s="13" customFormat="1" ht="66" customHeight="1" thickBot="1">
      <c r="A82" s="177"/>
      <c r="B82" s="84">
        <v>43920</v>
      </c>
      <c r="C82" s="179"/>
      <c r="D82" s="87" t="s">
        <v>24</v>
      </c>
      <c r="E82" s="86">
        <v>18200</v>
      </c>
      <c r="F82" s="86"/>
      <c r="G82" s="138">
        <v>15400</v>
      </c>
      <c r="H82" s="86"/>
      <c r="I82" s="86">
        <v>11734.69059</v>
      </c>
      <c r="J82" s="87"/>
      <c r="K82" s="86">
        <f>7917.47517+I82</f>
        <v>19652.16576</v>
      </c>
      <c r="L82" s="86"/>
      <c r="M82" s="102"/>
      <c r="N82" s="95" t="s">
        <v>109</v>
      </c>
    </row>
    <row r="83" spans="1:14" ht="31.5" customHeight="1" thickBot="1">
      <c r="A83" s="170" t="s">
        <v>13</v>
      </c>
      <c r="B83" s="171"/>
      <c r="C83" s="171"/>
      <c r="D83" s="171"/>
      <c r="E83" s="171"/>
      <c r="F83" s="172"/>
      <c r="G83" s="34">
        <f t="shared" ref="G83:L83" si="6">G84+G85</f>
        <v>0</v>
      </c>
      <c r="H83" s="34">
        <f t="shared" si="6"/>
        <v>2300</v>
      </c>
      <c r="I83" s="34">
        <f t="shared" si="6"/>
        <v>0</v>
      </c>
      <c r="J83" s="34">
        <f t="shared" si="6"/>
        <v>1297.54351</v>
      </c>
      <c r="K83" s="34">
        <f t="shared" si="6"/>
        <v>0</v>
      </c>
      <c r="L83" s="34">
        <f t="shared" si="6"/>
        <v>30815.208219999997</v>
      </c>
      <c r="M83" s="117"/>
      <c r="N83" s="34"/>
    </row>
    <row r="84" spans="1:14" ht="153" customHeight="1">
      <c r="A84" s="146" t="s">
        <v>10</v>
      </c>
      <c r="B84" s="111">
        <v>40119</v>
      </c>
      <c r="C84" s="92">
        <v>44196</v>
      </c>
      <c r="D84" s="85" t="s">
        <v>24</v>
      </c>
      <c r="E84" s="85"/>
      <c r="F84" s="85">
        <v>2267</v>
      </c>
      <c r="G84" s="85">
        <v>0</v>
      </c>
      <c r="H84" s="85">
        <v>2300</v>
      </c>
      <c r="I84" s="85"/>
      <c r="J84" s="88">
        <v>288.22791999999998</v>
      </c>
      <c r="K84" s="85"/>
      <c r="L84" s="85">
        <f>9106.60632+J84</f>
        <v>9394.8342400000001</v>
      </c>
      <c r="M84" s="110" t="s">
        <v>37</v>
      </c>
      <c r="N84" s="44" t="s">
        <v>110</v>
      </c>
    </row>
    <row r="85" spans="1:14" ht="219" customHeight="1" thickBot="1">
      <c r="A85" s="124" t="s">
        <v>2</v>
      </c>
      <c r="B85" s="125">
        <v>40589</v>
      </c>
      <c r="C85" s="125" t="s">
        <v>145</v>
      </c>
      <c r="D85" s="126" t="s">
        <v>24</v>
      </c>
      <c r="E85" s="127"/>
      <c r="F85" s="127">
        <v>8250</v>
      </c>
      <c r="G85" s="127">
        <v>0</v>
      </c>
      <c r="H85" s="127">
        <v>0</v>
      </c>
      <c r="I85" s="127"/>
      <c r="J85" s="127">
        <v>1009.31559</v>
      </c>
      <c r="K85" s="127"/>
      <c r="L85" s="127">
        <f>20411.05839+J85</f>
        <v>21420.373979999997</v>
      </c>
      <c r="M85" s="75" t="s">
        <v>37</v>
      </c>
      <c r="N85" s="45" t="s">
        <v>141</v>
      </c>
    </row>
    <row r="86" spans="1:14" ht="42.75" customHeight="1" thickBot="1">
      <c r="A86" s="173" t="s">
        <v>12</v>
      </c>
      <c r="B86" s="174"/>
      <c r="C86" s="174"/>
      <c r="D86" s="174"/>
      <c r="E86" s="174"/>
      <c r="F86" s="175"/>
      <c r="G86" s="123">
        <f>G87+G98+G93+G94+G92+G95+G91+G99+G89+G96+G90+G97+G88</f>
        <v>293700</v>
      </c>
      <c r="H86" s="123">
        <f>H87+H98+H93+H94+H92+H95+H91+H99+H89+H96+H90</f>
        <v>11600</v>
      </c>
      <c r="I86" s="123">
        <f>I87+I98+I93+I94+I92+I95+I91+I99+I89+I96+I90+I88+I97</f>
        <v>48459.569869999999</v>
      </c>
      <c r="J86" s="123">
        <f t="shared" ref="J86:L86" si="7">J87+J98+J93+J94+J92+J95+J91+J99+J89+J96+J90+J88+J97</f>
        <v>0</v>
      </c>
      <c r="K86" s="123">
        <f>K87+K98+K93+K94+K92+K95+K91+K99+K89+K96+K90+K88+K97</f>
        <v>463792.66791000002</v>
      </c>
      <c r="L86" s="123">
        <f t="shared" si="7"/>
        <v>19631.872289999999</v>
      </c>
      <c r="M86" s="117"/>
      <c r="N86" s="34"/>
    </row>
    <row r="87" spans="1:14" s="7" customFormat="1" ht="157.5" customHeight="1">
      <c r="A87" s="146" t="s">
        <v>151</v>
      </c>
      <c r="B87" s="192">
        <v>43634</v>
      </c>
      <c r="C87" s="192">
        <v>46112</v>
      </c>
      <c r="D87" s="162" t="s">
        <v>24</v>
      </c>
      <c r="E87" s="197">
        <v>90000</v>
      </c>
      <c r="F87" s="85"/>
      <c r="G87" s="85">
        <v>26500</v>
      </c>
      <c r="H87" s="85"/>
      <c r="I87" s="99">
        <v>7926.7653</v>
      </c>
      <c r="J87" s="88"/>
      <c r="K87" s="85">
        <f>1703.32482+I87</f>
        <v>9630.0901200000008</v>
      </c>
      <c r="L87" s="82"/>
      <c r="M87" s="110"/>
      <c r="N87" s="118" t="s">
        <v>204</v>
      </c>
    </row>
    <row r="88" spans="1:14" s="7" customFormat="1" ht="96" customHeight="1">
      <c r="A88" s="140" t="s">
        <v>152</v>
      </c>
      <c r="B88" s="193"/>
      <c r="C88" s="193"/>
      <c r="D88" s="163"/>
      <c r="E88" s="196"/>
      <c r="F88" s="82"/>
      <c r="G88" s="134">
        <v>1600</v>
      </c>
      <c r="H88" s="82"/>
      <c r="I88" s="101">
        <v>26.482430000000001</v>
      </c>
      <c r="J88" s="66"/>
      <c r="K88" s="82">
        <f>56.29921+I88</f>
        <v>82.78164000000001</v>
      </c>
      <c r="L88" s="82"/>
      <c r="M88" s="76"/>
      <c r="N88" s="67" t="s">
        <v>205</v>
      </c>
    </row>
    <row r="89" spans="1:14" s="72" customFormat="1" ht="62.25" customHeight="1">
      <c r="A89" s="140" t="s">
        <v>147</v>
      </c>
      <c r="B89" s="65">
        <v>42713</v>
      </c>
      <c r="C89" s="65">
        <v>45657</v>
      </c>
      <c r="D89" s="66" t="s">
        <v>24</v>
      </c>
      <c r="E89" s="82">
        <v>100000</v>
      </c>
      <c r="F89" s="82"/>
      <c r="G89" s="134">
        <v>50000</v>
      </c>
      <c r="H89" s="82"/>
      <c r="I89" s="101"/>
      <c r="J89" s="66"/>
      <c r="K89" s="82">
        <f>I89</f>
        <v>0</v>
      </c>
      <c r="L89" s="82"/>
      <c r="M89" s="76"/>
      <c r="N89" s="67" t="s">
        <v>176</v>
      </c>
    </row>
    <row r="90" spans="1:14" s="7" customFormat="1" ht="200.25" customHeight="1">
      <c r="A90" s="140" t="s">
        <v>143</v>
      </c>
      <c r="B90" s="65">
        <v>43493</v>
      </c>
      <c r="C90" s="65">
        <v>44926</v>
      </c>
      <c r="D90" s="66" t="s">
        <v>24</v>
      </c>
      <c r="E90" s="82">
        <v>10000</v>
      </c>
      <c r="F90" s="82"/>
      <c r="G90" s="82">
        <v>0</v>
      </c>
      <c r="H90" s="82">
        <v>0</v>
      </c>
      <c r="I90" s="101"/>
      <c r="J90" s="66"/>
      <c r="K90" s="82"/>
      <c r="L90" s="82">
        <v>15257.5</v>
      </c>
      <c r="M90" s="76"/>
      <c r="N90" s="67" t="s">
        <v>162</v>
      </c>
    </row>
    <row r="91" spans="1:14" s="63" customFormat="1" ht="55.5" customHeight="1">
      <c r="A91" s="140" t="s">
        <v>131</v>
      </c>
      <c r="B91" s="65">
        <v>43630</v>
      </c>
      <c r="C91" s="65">
        <v>45000</v>
      </c>
      <c r="D91" s="66" t="s">
        <v>24</v>
      </c>
      <c r="E91" s="82">
        <v>20000</v>
      </c>
      <c r="F91" s="82"/>
      <c r="G91" s="134">
        <v>3400</v>
      </c>
      <c r="H91" s="134">
        <v>3400</v>
      </c>
      <c r="I91" s="101"/>
      <c r="J91" s="66"/>
      <c r="K91" s="79">
        <f>I91</f>
        <v>0</v>
      </c>
      <c r="L91" s="64">
        <f>J91</f>
        <v>0</v>
      </c>
      <c r="M91" s="119"/>
      <c r="N91" s="67" t="s">
        <v>139</v>
      </c>
    </row>
    <row r="92" spans="1:14" s="63" customFormat="1" ht="57.75" customHeight="1">
      <c r="A92" s="147" t="s">
        <v>60</v>
      </c>
      <c r="B92" s="91">
        <v>42661</v>
      </c>
      <c r="C92" s="252">
        <v>44742</v>
      </c>
      <c r="D92" s="86" t="s">
        <v>24</v>
      </c>
      <c r="E92" s="86">
        <v>14000</v>
      </c>
      <c r="F92" s="86"/>
      <c r="G92" s="138">
        <v>1400</v>
      </c>
      <c r="H92" s="138">
        <v>4200</v>
      </c>
      <c r="I92" s="100">
        <v>151.12300999999999</v>
      </c>
      <c r="J92" s="86"/>
      <c r="K92" s="86">
        <f>903.81631+I92</f>
        <v>1054.93932</v>
      </c>
      <c r="L92" s="79">
        <v>0</v>
      </c>
      <c r="M92" s="102"/>
      <c r="N92" s="89" t="s">
        <v>114</v>
      </c>
    </row>
    <row r="93" spans="1:14" ht="46.5" customHeight="1">
      <c r="A93" s="52" t="s">
        <v>50</v>
      </c>
      <c r="B93" s="91">
        <v>42346</v>
      </c>
      <c r="C93" s="91">
        <v>43228</v>
      </c>
      <c r="D93" s="86" t="s">
        <v>24</v>
      </c>
      <c r="E93" s="86">
        <v>82821</v>
      </c>
      <c r="F93" s="86"/>
      <c r="G93" s="138">
        <v>50000</v>
      </c>
      <c r="H93" s="138"/>
      <c r="I93" s="98"/>
      <c r="J93" s="86"/>
      <c r="K93" s="86">
        <f>250423.11518+I93</f>
        <v>250423.11517999999</v>
      </c>
      <c r="L93" s="86"/>
      <c r="M93" s="102"/>
      <c r="N93" s="95" t="s">
        <v>75</v>
      </c>
    </row>
    <row r="94" spans="1:14" s="7" customFormat="1" ht="68.25" customHeight="1">
      <c r="A94" s="52" t="s">
        <v>59</v>
      </c>
      <c r="B94" s="91">
        <v>42929</v>
      </c>
      <c r="C94" s="91">
        <v>44025</v>
      </c>
      <c r="D94" s="86" t="s">
        <v>24</v>
      </c>
      <c r="E94" s="86">
        <v>5500</v>
      </c>
      <c r="F94" s="86">
        <v>1500</v>
      </c>
      <c r="G94" s="138">
        <v>4800</v>
      </c>
      <c r="H94" s="138">
        <v>4000</v>
      </c>
      <c r="I94" s="98"/>
      <c r="J94" s="86"/>
      <c r="K94" s="130">
        <f>15526.9208+I94</f>
        <v>15526.9208</v>
      </c>
      <c r="L94" s="130">
        <f>4374.37229+J94</f>
        <v>4374.3722900000002</v>
      </c>
      <c r="M94" s="102"/>
      <c r="N94" s="120" t="s">
        <v>173</v>
      </c>
    </row>
    <row r="95" spans="1:14" ht="39.75" customHeight="1">
      <c r="A95" s="53" t="s">
        <v>150</v>
      </c>
      <c r="B95" s="83">
        <v>43798</v>
      </c>
      <c r="C95" s="83">
        <v>44915</v>
      </c>
      <c r="D95" s="86" t="s">
        <v>24</v>
      </c>
      <c r="E95" s="81">
        <v>80000</v>
      </c>
      <c r="F95" s="81"/>
      <c r="G95" s="138">
        <v>120000</v>
      </c>
      <c r="H95" s="133"/>
      <c r="I95" s="100">
        <v>37652.811679999999</v>
      </c>
      <c r="J95" s="81"/>
      <c r="K95" s="86">
        <f>116796.5739+I95</f>
        <v>154449.38558</v>
      </c>
      <c r="L95" s="77"/>
      <c r="M95" s="78"/>
      <c r="N95" s="95" t="s">
        <v>174</v>
      </c>
    </row>
    <row r="96" spans="1:14" s="13" customFormat="1" ht="62.25" customHeight="1">
      <c r="A96" s="53" t="s">
        <v>148</v>
      </c>
      <c r="B96" s="83">
        <v>43950</v>
      </c>
      <c r="C96" s="83">
        <v>45280</v>
      </c>
      <c r="D96" s="86" t="s">
        <v>24</v>
      </c>
      <c r="E96" s="81">
        <v>75000</v>
      </c>
      <c r="F96" s="81"/>
      <c r="G96" s="138"/>
      <c r="H96" s="133"/>
      <c r="I96" s="100"/>
      <c r="J96" s="81"/>
      <c r="K96" s="77">
        <f>I96</f>
        <v>0</v>
      </c>
      <c r="L96" s="77"/>
      <c r="M96" s="78"/>
      <c r="N96" s="89" t="s">
        <v>175</v>
      </c>
    </row>
    <row r="97" spans="1:14" s="13" customFormat="1" ht="48.75" customHeight="1">
      <c r="A97" s="53" t="s">
        <v>166</v>
      </c>
      <c r="B97" s="135">
        <v>44074</v>
      </c>
      <c r="C97" s="135">
        <v>46022</v>
      </c>
      <c r="D97" s="138" t="s">
        <v>24</v>
      </c>
      <c r="E97" s="133">
        <v>35700</v>
      </c>
      <c r="F97" s="133"/>
      <c r="G97" s="138">
        <v>15000</v>
      </c>
      <c r="H97" s="133"/>
      <c r="I97" s="149">
        <f>12000/1000</f>
        <v>12</v>
      </c>
      <c r="J97" s="133"/>
      <c r="K97" s="138">
        <f>355.83975+I97</f>
        <v>367.83974999999998</v>
      </c>
      <c r="L97" s="77"/>
      <c r="M97" s="78"/>
      <c r="N97" s="137" t="s">
        <v>172</v>
      </c>
    </row>
    <row r="98" spans="1:14" ht="302.14999999999998" customHeight="1">
      <c r="A98" s="53" t="s">
        <v>49</v>
      </c>
      <c r="B98" s="164">
        <v>42457</v>
      </c>
      <c r="C98" s="164">
        <v>44316</v>
      </c>
      <c r="D98" s="188" t="s">
        <v>18</v>
      </c>
      <c r="E98" s="188">
        <v>23500</v>
      </c>
      <c r="F98" s="81"/>
      <c r="G98" s="138">
        <v>17600</v>
      </c>
      <c r="H98" s="133"/>
      <c r="I98" s="128">
        <v>1232.42695</v>
      </c>
      <c r="J98" s="81"/>
      <c r="K98" s="86">
        <f>23545.80935+I98</f>
        <v>24778.2363</v>
      </c>
      <c r="L98" s="77"/>
      <c r="M98" s="78"/>
      <c r="N98" s="67" t="s">
        <v>206</v>
      </c>
    </row>
    <row r="99" spans="1:14" s="63" customFormat="1" ht="150" customHeight="1" thickBot="1">
      <c r="A99" s="51" t="s">
        <v>134</v>
      </c>
      <c r="B99" s="190"/>
      <c r="C99" s="190"/>
      <c r="D99" s="191"/>
      <c r="E99" s="191"/>
      <c r="F99" s="30"/>
      <c r="G99" s="30">
        <v>3400</v>
      </c>
      <c r="H99" s="30"/>
      <c r="I99" s="30">
        <v>1457.9604999999999</v>
      </c>
      <c r="J99" s="30"/>
      <c r="K99" s="30">
        <f>6021.39872+I99</f>
        <v>7479.3592200000003</v>
      </c>
      <c r="L99" s="30"/>
      <c r="M99" s="75"/>
      <c r="N99" s="28" t="s">
        <v>207</v>
      </c>
    </row>
    <row r="100" spans="1:14" ht="48.75" customHeight="1" thickBot="1">
      <c r="A100" s="150"/>
      <c r="B100" s="121"/>
      <c r="C100" s="121"/>
      <c r="D100" s="6"/>
      <c r="E100" s="122"/>
      <c r="F100" s="34" t="s">
        <v>20</v>
      </c>
      <c r="G100" s="34">
        <f t="shared" ref="G100:L100" si="8">G7+G35+G51+G63+G76+G83+G86</f>
        <v>1450915</v>
      </c>
      <c r="H100" s="34">
        <f t="shared" si="8"/>
        <v>49965</v>
      </c>
      <c r="I100" s="34">
        <f t="shared" si="8"/>
        <v>239577.79524999997</v>
      </c>
      <c r="J100" s="34">
        <f t="shared" si="8"/>
        <v>2187.5397400000002</v>
      </c>
      <c r="K100" s="34">
        <f t="shared" si="8"/>
        <v>5475369.3795910003</v>
      </c>
      <c r="L100" s="34">
        <f t="shared" si="8"/>
        <v>280846.1678</v>
      </c>
      <c r="M100" s="122"/>
      <c r="N100" s="34"/>
    </row>
    <row r="101" spans="1:14" ht="12" customHeight="1">
      <c r="A101" s="18"/>
      <c r="B101" s="17"/>
      <c r="C101" s="17"/>
      <c r="D101" s="18"/>
      <c r="E101" s="18"/>
      <c r="F101" s="18"/>
      <c r="G101" s="18"/>
      <c r="H101" s="18"/>
      <c r="I101" s="18"/>
      <c r="J101" s="18"/>
      <c r="K101" s="18"/>
      <c r="L101" s="18"/>
      <c r="M101" s="18"/>
      <c r="N101" s="12"/>
    </row>
    <row r="102" spans="1:14" s="13" customFormat="1" ht="24" customHeight="1">
      <c r="A102" s="168" t="s">
        <v>72</v>
      </c>
      <c r="B102" s="168"/>
      <c r="C102" s="168"/>
      <c r="D102" s="168"/>
      <c r="E102" s="168"/>
      <c r="F102" s="168"/>
      <c r="G102" s="168"/>
      <c r="H102" s="168"/>
      <c r="I102" s="168"/>
      <c r="J102" s="168"/>
      <c r="K102" s="168"/>
      <c r="L102" s="168"/>
      <c r="M102" s="168"/>
      <c r="N102" s="168"/>
    </row>
    <row r="103" spans="1:14" s="9" customFormat="1" ht="30.75" customHeight="1">
      <c r="A103" s="13" t="s">
        <v>73</v>
      </c>
      <c r="B103" s="15"/>
      <c r="C103" s="15"/>
      <c r="D103" s="13"/>
      <c r="E103" s="13"/>
      <c r="F103" s="13"/>
      <c r="G103" s="13"/>
      <c r="H103" s="13"/>
      <c r="I103" s="54"/>
      <c r="J103" s="13"/>
      <c r="K103" s="14"/>
      <c r="L103" s="13"/>
      <c r="M103" s="13"/>
      <c r="N103" s="16"/>
    </row>
    <row r="104" spans="1:14" s="6" customFormat="1" ht="29.25" customHeight="1">
      <c r="A104" s="13"/>
      <c r="B104" s="15"/>
      <c r="C104" s="15"/>
      <c r="D104" s="13"/>
      <c r="E104" s="13"/>
      <c r="F104" s="13"/>
      <c r="G104" s="13"/>
      <c r="H104" s="13"/>
      <c r="I104" s="13"/>
      <c r="J104" s="13"/>
      <c r="K104" s="13"/>
      <c r="L104" s="13"/>
      <c r="M104" s="13"/>
      <c r="N104" s="16"/>
    </row>
    <row r="105" spans="1:14" ht="8.25" customHeight="1" thickBot="1">
      <c r="G105" s="36"/>
      <c r="J105" s="14"/>
    </row>
    <row r="106" spans="1:14" ht="24" customHeight="1" thickBot="1">
      <c r="G106" s="34">
        <v>1450915</v>
      </c>
      <c r="H106" s="34">
        <v>49965</v>
      </c>
      <c r="I106" s="8"/>
      <c r="J106" s="8"/>
      <c r="K106" s="34">
        <v>6304685.8067210019</v>
      </c>
      <c r="L106" s="34">
        <v>280846.16779999994</v>
      </c>
    </row>
    <row r="107" spans="1:14" ht="27" customHeight="1">
      <c r="G107" s="36">
        <f>G106-G100</f>
        <v>0</v>
      </c>
      <c r="H107" s="36">
        <f>H106-H100</f>
        <v>0</v>
      </c>
      <c r="I107" s="8"/>
      <c r="J107" s="14"/>
      <c r="K107" s="14"/>
      <c r="L107" s="14"/>
    </row>
    <row r="108" spans="1:14">
      <c r="I108" s="14"/>
    </row>
    <row r="110" spans="1:14" ht="24.75" customHeight="1"/>
  </sheetData>
  <mergeCells count="142">
    <mergeCell ref="N10:N11"/>
    <mergeCell ref="I5:J5"/>
    <mergeCell ref="H8:H9"/>
    <mergeCell ref="A8:A9"/>
    <mergeCell ref="M4:M5"/>
    <mergeCell ref="N4:N5"/>
    <mergeCell ref="N14:N15"/>
    <mergeCell ref="L14:L15"/>
    <mergeCell ref="I4:J4"/>
    <mergeCell ref="G10:G11"/>
    <mergeCell ref="F12:F13"/>
    <mergeCell ref="G8:G9"/>
    <mergeCell ref="G12:G13"/>
    <mergeCell ref="G4:H4"/>
    <mergeCell ref="G5:H5"/>
    <mergeCell ref="K8:K9"/>
    <mergeCell ref="K12:K13"/>
    <mergeCell ref="D4:F4"/>
    <mergeCell ref="K5:L5"/>
    <mergeCell ref="K4:L4"/>
    <mergeCell ref="J12:J13"/>
    <mergeCell ref="I8:I9"/>
    <mergeCell ref="N8:N9"/>
    <mergeCell ref="N12:N13"/>
    <mergeCell ref="M8:M9"/>
    <mergeCell ref="M12:M13"/>
    <mergeCell ref="K18:K19"/>
    <mergeCell ref="J18:J19"/>
    <mergeCell ref="I18:I19"/>
    <mergeCell ref="C4:C5"/>
    <mergeCell ref="B20:B21"/>
    <mergeCell ref="C20:C21"/>
    <mergeCell ref="D20:D21"/>
    <mergeCell ref="E19:E21"/>
    <mergeCell ref="G18:G19"/>
    <mergeCell ref="H18:H19"/>
    <mergeCell ref="D5:F5"/>
    <mergeCell ref="B14:B15"/>
    <mergeCell ref="C14:C15"/>
    <mergeCell ref="G14:G15"/>
    <mergeCell ref="F14:F15"/>
    <mergeCell ref="A7:F7"/>
    <mergeCell ref="A4:A5"/>
    <mergeCell ref="B4:B5"/>
    <mergeCell ref="A12:A13"/>
    <mergeCell ref="B10:B11"/>
    <mergeCell ref="A14:A15"/>
    <mergeCell ref="A18:A19"/>
    <mergeCell ref="B12:B13"/>
    <mergeCell ref="H10:H11"/>
    <mergeCell ref="G25:G26"/>
    <mergeCell ref="C10:C11"/>
    <mergeCell ref="A10:A11"/>
    <mergeCell ref="I12:I13"/>
    <mergeCell ref="C8:C9"/>
    <mergeCell ref="C12:C13"/>
    <mergeCell ref="J10:J11"/>
    <mergeCell ref="B8:B9"/>
    <mergeCell ref="L10:L11"/>
    <mergeCell ref="I10:I11"/>
    <mergeCell ref="J8:J9"/>
    <mergeCell ref="H12:H13"/>
    <mergeCell ref="F8:F9"/>
    <mergeCell ref="L8:L9"/>
    <mergeCell ref="L12:L13"/>
    <mergeCell ref="K10:K11"/>
    <mergeCell ref="I25:I26"/>
    <mergeCell ref="I14:I15"/>
    <mergeCell ref="K14:K15"/>
    <mergeCell ref="H14:H15"/>
    <mergeCell ref="J14:J15"/>
    <mergeCell ref="H25:H26"/>
    <mergeCell ref="J25:J26"/>
    <mergeCell ref="L25:L26"/>
    <mergeCell ref="N18:N19"/>
    <mergeCell ref="H77:H79"/>
    <mergeCell ref="N39:N40"/>
    <mergeCell ref="F39:F40"/>
    <mergeCell ref="I77:I79"/>
    <mergeCell ref="J77:J79"/>
    <mergeCell ref="K77:K79"/>
    <mergeCell ref="L77:L79"/>
    <mergeCell ref="N77:N79"/>
    <mergeCell ref="N65:N66"/>
    <mergeCell ref="M39:M40"/>
    <mergeCell ref="G39:G40"/>
    <mergeCell ref="H39:H40"/>
    <mergeCell ref="I53:I54"/>
    <mergeCell ref="K53:K54"/>
    <mergeCell ref="J53:J54"/>
    <mergeCell ref="H53:H54"/>
    <mergeCell ref="G53:G54"/>
    <mergeCell ref="N25:N26"/>
    <mergeCell ref="A35:F35"/>
    <mergeCell ref="B53:B54"/>
    <mergeCell ref="L18:L19"/>
    <mergeCell ref="K25:K26"/>
    <mergeCell ref="E87:E88"/>
    <mergeCell ref="I39:I40"/>
    <mergeCell ref="L39:L40"/>
    <mergeCell ref="A77:A79"/>
    <mergeCell ref="B65:B67"/>
    <mergeCell ref="J39:J40"/>
    <mergeCell ref="K39:K40"/>
    <mergeCell ref="A63:F63"/>
    <mergeCell ref="A76:F76"/>
    <mergeCell ref="G77:G79"/>
    <mergeCell ref="B68:B69"/>
    <mergeCell ref="L53:L54"/>
    <mergeCell ref="C65:C67"/>
    <mergeCell ref="D65:D67"/>
    <mergeCell ref="E65:E67"/>
    <mergeCell ref="C53:C54"/>
    <mergeCell ref="F53:F54"/>
    <mergeCell ref="C39:C40"/>
    <mergeCell ref="A51:F51"/>
    <mergeCell ref="A39:A40"/>
    <mergeCell ref="B39:B40"/>
    <mergeCell ref="D87:D88"/>
    <mergeCell ref="B72:B74"/>
    <mergeCell ref="P7:P8"/>
    <mergeCell ref="A102:N102"/>
    <mergeCell ref="A53:A54"/>
    <mergeCell ref="A83:F83"/>
    <mergeCell ref="A86:F86"/>
    <mergeCell ref="A81:A82"/>
    <mergeCell ref="C81:C82"/>
    <mergeCell ref="C68:C69"/>
    <mergeCell ref="E68:E69"/>
    <mergeCell ref="N53:N54"/>
    <mergeCell ref="C72:C74"/>
    <mergeCell ref="D72:D74"/>
    <mergeCell ref="E72:E74"/>
    <mergeCell ref="B98:B99"/>
    <mergeCell ref="C98:C99"/>
    <mergeCell ref="D98:D99"/>
    <mergeCell ref="E98:E99"/>
    <mergeCell ref="B87:B88"/>
    <mergeCell ref="C87:C88"/>
    <mergeCell ref="A25:A26"/>
    <mergeCell ref="C25:C26"/>
    <mergeCell ref="D25:D26"/>
  </mergeCells>
  <printOptions horizontalCentered="1"/>
  <pageMargins left="0.11811023622047245" right="0.11811023622047245" top="0.23622047244094491" bottom="0.23622047244094491" header="0" footer="0.11811023622047245"/>
  <pageSetup paperSize="9" scale="35" fitToHeight="0" orientation="landscape" r:id="rId1"/>
  <headerFooter alignWithMargins="0"/>
  <rowBreaks count="2" manualBreakCount="2">
    <brk id="64" max="13" man="1"/>
    <brk id="8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WEB-2020</vt:lpstr>
      <vt:lpstr>'WEB-2020'!Print_Area</vt:lpstr>
      <vt:lpstr>'WEB-2020'!Print_Titles</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dc:creator>
  <cp:lastModifiedBy>annrusieshvili@yahoo.com</cp:lastModifiedBy>
  <cp:lastPrinted>2021-04-20T07:45:18Z</cp:lastPrinted>
  <dcterms:created xsi:type="dcterms:W3CDTF">2011-04-14T08:42:21Z</dcterms:created>
  <dcterms:modified xsi:type="dcterms:W3CDTF">2021-05-24T09:57:41Z</dcterms:modified>
</cp:coreProperties>
</file>