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April\"/>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Website_ENG'!$A$1:$M$96</definedName>
    <definedName name="_xlnm.Print_Titles" localSheetId="0">'For Website_ENG'!$A:$A,'For Website_ENG'!$4:$6</definedName>
  </definedNames>
  <calcPr calcId="162913"/>
</workbook>
</file>

<file path=xl/calcChain.xml><?xml version="1.0" encoding="utf-8"?>
<calcChain xmlns="http://schemas.openxmlformats.org/spreadsheetml/2006/main">
  <c r="L87" i="12" l="1"/>
  <c r="K92" i="12" l="1"/>
  <c r="L84" i="12"/>
  <c r="K81" i="12"/>
  <c r="K80" i="12"/>
  <c r="L77" i="12"/>
  <c r="K77" i="12"/>
  <c r="K64" i="12"/>
  <c r="L62" i="12"/>
  <c r="L61" i="12"/>
  <c r="K61" i="12"/>
  <c r="L60" i="12"/>
  <c r="K60" i="12"/>
  <c r="L59" i="12"/>
  <c r="K59" i="12"/>
  <c r="K56" i="12"/>
  <c r="K51" i="12"/>
  <c r="K49" i="12"/>
  <c r="L47" i="12"/>
  <c r="K47" i="12"/>
  <c r="K46" i="12"/>
  <c r="K45" i="12"/>
  <c r="K43" i="12"/>
  <c r="K40" i="12"/>
  <c r="L37" i="12"/>
  <c r="K37" i="12"/>
  <c r="K35" i="12"/>
  <c r="K34" i="12"/>
  <c r="K33" i="12"/>
  <c r="K32" i="12"/>
  <c r="K31" i="12"/>
  <c r="K29" i="12"/>
  <c r="K23" i="12"/>
  <c r="K21" i="12"/>
  <c r="K20" i="12"/>
  <c r="L17" i="12"/>
  <c r="K17" i="12"/>
  <c r="K16" i="12"/>
  <c r="K14" i="12"/>
  <c r="K12" i="12"/>
  <c r="K10" i="12"/>
  <c r="G36" i="12" l="1"/>
  <c r="K90" i="12" l="1"/>
  <c r="K89" i="12"/>
  <c r="L85" i="12"/>
  <c r="L82" i="12"/>
  <c r="K70" i="12"/>
  <c r="K69" i="12"/>
  <c r="K66" i="12"/>
  <c r="K65" i="12"/>
  <c r="K58" i="12"/>
  <c r="K42" i="12"/>
  <c r="L39" i="12"/>
  <c r="K39" i="12"/>
  <c r="K38" i="12"/>
  <c r="L63" i="12" l="1"/>
  <c r="J63" i="12"/>
  <c r="I63" i="12"/>
  <c r="H63" i="12"/>
  <c r="G63" i="12"/>
  <c r="L55" i="12" l="1"/>
  <c r="K55" i="12"/>
  <c r="J36" i="12"/>
  <c r="I36" i="12"/>
  <c r="H36" i="12"/>
  <c r="G54" i="12"/>
  <c r="K18" i="12" l="1"/>
  <c r="L36" i="12" l="1"/>
  <c r="K36" i="12"/>
  <c r="G76" i="12"/>
  <c r="K63" i="12"/>
  <c r="I76" i="12" l="1"/>
  <c r="J76" i="12"/>
  <c r="K76" i="12" l="1"/>
  <c r="I54" i="12" l="1"/>
  <c r="L76" i="12" l="1"/>
  <c r="F87" i="12" l="1"/>
  <c r="E65" i="12"/>
  <c r="F59" i="12"/>
  <c r="E59" i="12"/>
  <c r="E57" i="12"/>
  <c r="E56" i="12"/>
  <c r="E41" i="12"/>
  <c r="E40" i="12"/>
  <c r="J7" i="12" l="1"/>
  <c r="I7" i="12"/>
  <c r="H7" i="12"/>
  <c r="G7" i="12"/>
  <c r="L7" i="12"/>
  <c r="K7" i="12" l="1"/>
  <c r="H86" i="12"/>
  <c r="G86" i="12"/>
  <c r="K86" i="12" l="1"/>
  <c r="I86" i="12" l="1"/>
  <c r="J86" i="12"/>
  <c r="L86" i="12"/>
  <c r="G83" i="12"/>
  <c r="G93" i="12" s="1"/>
  <c r="G98" i="12" s="1"/>
  <c r="H83" i="12"/>
  <c r="I83" i="12"/>
  <c r="J83" i="12"/>
  <c r="K83" i="12"/>
  <c r="L83" i="12"/>
  <c r="H76" i="12"/>
  <c r="H54" i="12" l="1"/>
  <c r="H93" i="12" s="1"/>
  <c r="H98" i="12" s="1"/>
  <c r="I93" i="12"/>
  <c r="I98" i="12" s="1"/>
  <c r="J54" i="12"/>
  <c r="J93" i="12" s="1"/>
  <c r="J98" i="12" s="1"/>
  <c r="K54" i="12"/>
  <c r="K93" i="12" s="1"/>
  <c r="K98" i="12" s="1"/>
  <c r="L54" i="12"/>
  <c r="L93" i="12" s="1"/>
  <c r="L98" i="12" s="1"/>
</calcChain>
</file>

<file path=xl/sharedStrings.xml><?xml version="1.0" encoding="utf-8"?>
<sst xmlns="http://schemas.openxmlformats.org/spreadsheetml/2006/main" count="242" uniqueCount="171">
  <si>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</si>
  <si>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</si>
  <si>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</si>
  <si>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</si>
  <si>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</si>
  <si>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</si>
  <si>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</si>
  <si>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</si>
  <si>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</si>
  <si>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</si>
  <si>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</si>
  <si>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</si>
  <si>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</si>
  <si>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</si>
  <si>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</si>
  <si>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</si>
  <si>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</si>
  <si>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</si>
  <si>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</si>
  <si>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</si>
  <si>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</si>
  <si>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</si>
  <si>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</si>
  <si>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</si>
  <si>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</si>
  <si>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</si>
  <si>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</si>
  <si>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</si>
  <si>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</si>
  <si>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</si>
  <si>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</si>
  <si>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</si>
  <si>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</si>
  <si>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</si>
  <si>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</si>
  <si>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</si>
  <si>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</si>
  <si>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</si>
  <si>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</si>
  <si>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</si>
  <si>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</si>
  <si>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</si>
  <si>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</si>
  <si>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</si>
  <si>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</si>
  <si>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</si>
  <si>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</si>
  <si>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</si>
  <si>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</si>
  <si>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</si>
  <si>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</si>
  <si>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</si>
  <si>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</si>
  <si>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</si>
  <si>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</si>
  <si>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</si>
  <si>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</si>
  <si>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</si>
  <si>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</si>
  <si>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</si>
  <si>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</si>
  <si>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</si>
  <si>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</si>
  <si>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</si>
  <si>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</si>
  <si>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</si>
  <si>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</si>
  <si>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</si>
  <si>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</si>
  <si>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</si>
  <si>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</si>
  <si>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</si>
  <si>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</si>
  <si>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</si>
  <si>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</si>
  <si>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</si>
  <si>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</si>
  <si>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</si>
  <si>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 of Poti Bridge on River Rioni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</si>
  <si>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</si>
  <si>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</si>
  <si>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</si>
  <si>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 of Grigoleti-Choloki (km48 - km64) section of Senaki-Poti-Sarpi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</si>
  <si>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</si>
  <si>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</si>
  <si>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</si>
  <si>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</si>
  <si>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</si>
  <si>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</si>
  <si>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</si>
  <si>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</si>
  <si>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</si>
  <si>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</si>
  <si>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</si>
  <si>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</si>
  <si>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</si>
  <si>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</si>
  <si>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</si>
  <si>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</si>
  <si>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</si>
  <si>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</si>
  <si>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</si>
  <si>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</si>
  <si>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</si>
  <si>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</si>
  <si>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</si>
  <si>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</si>
  <si>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</si>
  <si>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</si>
  <si>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</si>
  <si>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</si>
  <si>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</si>
  <si>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</si>
  <si>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</si>
  <si>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Construction of a new Kobuleti Bypass Road (approximately 32 km) (First section (12.4 + 1.3 km) of the Highway is open for traffic, construction works completed for second section (18 km), traffic is open).</t>
  </si>
  <si>
    <t xml:space="preserve"> Donors’ supported Projects Envisaged in the State Budget</t>
  </si>
  <si>
    <t xml:space="preserve">  - Construction of Batumi Bypass two-lane 14.3 km Road (construction works are ongoing);
 - Maintenance of approximately 200 km International and Local roads (planned).</t>
  </si>
  <si>
    <t>Rehabilitation of secondary and local roads in different regions of Georgia (approx. 225 km in total) (completed).</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</si>
  <si>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(project and rehabilitation works are ongoing); 
 -Monitoring and supervision of works contracts (supervision of rehabilitation works of 4 road sections is ongoing).</t>
  </si>
  <si>
    <t>Upgrading of approximately 11 km of the existing 2-line East-West Highway Corridor to a  2-line dual carriageway from  Chumateleti to Khevi;  ( the tender for construction works was announced on the 8th of November 2018). 
The project will be implemented by EIB co-financing.</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</si>
  <si>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</si>
  <si>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</si>
  <si>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</si>
  <si>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</si>
  <si>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</si>
  <si>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</si>
  <si>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</si>
  <si>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</si>
  <si>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</si>
  <si>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</si>
  <si>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</si>
  <si>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</si>
  <si>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</si>
  <si>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</si>
  <si>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</si>
  <si>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</si>
  <si>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</si>
  <si>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</si>
  <si>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</si>
  <si>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Poti Bridge on River Rioni  (planned).</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</si>
  <si>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</si>
  <si>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</si>
  <si>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</si>
  <si>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</si>
  <si>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</si>
  <si>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</si>
  <si>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</si>
  <si>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</si>
  <si>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</si>
  <si>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 xml:space="preserve">Consturction-Rehabilitation of Khevi-Ubisa section of Tbilisi-Senaki-Leselidze Road (preparatory works are ongoing).  </t>
  </si>
  <si>
    <t>Construction of Grigoleti-Choloki (km48 - km64) section of Senaki-Poti-Sarpi Road  (Started preparation and mobilization work).</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</si>
  <si>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</si>
  <si>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</si>
  <si>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Construction of road and tunnel on Kvesheti-Kobi section of Mtskheta-Stepantsminda-Larsi Road  ( Tendering procedures are ongoing for selecting the constructors and contractors).</t>
  </si>
  <si>
    <t>Construction of a new bridge at the Sadakhlo-Bagratashen border crossing between the Republic of Armenia and Georgia  (project works are ongoing).</t>
  </si>
  <si>
    <t xml:space="preserve">Rehabilitation of secondary and local roads in different regions of Georgia (approx. 200 km in total) (an additional 12 road will be  rehabilitated within the project (approx. 80 km in total). </t>
  </si>
  <si>
    <t xml:space="preserve">As of April 30, 2019 (In thousand) </t>
  </si>
  <si>
    <t xml:space="preserve">  - Construction of the Zemo Osiauri - Chumateleti Section (approximately 14.1 km) of the Highway ( construction works are ongoing for Lot I, agreement for Lot II was terminated, the discussions with donor  on the extension of the works are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</si>
  <si>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 xml:space="preserve"> - Construction of a new four lane highway (approx. 52 km) from Samtredia to Grigoleti (construction works are going under the I, II and IV lots, III lot - the agreement was terminated, negotiations with the donor on re-announcement of the tender are ongoing);
 - Road sections of Poti-Grigoleti and Grigoleti-Kobuleti Bypass Road (  preparation of the Detailed Design was completed);</t>
  </si>
  <si>
    <t>Construction-Rehabilitaion of Chumateleti-Khevi section of Tbilisi-Senaki-Leselidze Road (preparatory  and mobilization works are ongoing).</t>
  </si>
  <si>
    <t>Construction-Rehabilitation of Dzirula-Argveta section of Tbilisi-Senaki-Leselidze Road (The tender ended with negative results. The loan agreement with JICA was canceled. The discussion with donor in order to finance the project is ongoing).</t>
  </si>
  <si>
    <t>Construction of Rustavi-Red Bridge (km22 - km57) section of Tbilisi-Red Bridge (Border of Republic of Azerbaijan) (planned). (The tender for supervision oF construction works of Rustavi-Algeti (Lot 1) and Algeti-Red Bridge (Lot 2) was announced.</t>
  </si>
  <si>
    <t xml:space="preserve"> Rehabilitation of secondary road connecting Dzirula-Kharagauli-Moliti-Pona-Chumateleti Road ( Dzirula-Moliti road rehabilitation - the constraction works are ongoing; the preparatory and mobilization works for rehabilitation of Moliti-Chumateeti road section is ongoing). </t>
  </si>
  <si>
    <t>Rehabilitation-reconstruction of the Khulo-Goderdzi Section of the Batumi-Akhaltsikhe Road Project (approximately 29 km 2 lane road) (Preparatory and mobilization works have started).</t>
  </si>
  <si>
    <t xml:space="preserve"> To  implement a regional municipal waste management system in Zugdidi (on the existing waste management base) and Gurjaani (village Melaani) that will serve Samegrelo-Zemo Svaneti and Kakheti regions (preparatory works are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</si>
  <si>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works are ongoing);
 -Anaklia - Construction of Water Intake building; Construction/rehabilitation of water supply and wastewater networks (completed); construction of wastewater treatment plant (the storage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(water distribution network, wastewater collector and treatment plant) (construction works are ongoing); 
- Ureki - Construction of wastewater collector and treatment plant (the storage procedures are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(construction works are ongoing); 
- Construction of Abasha main line (constructions works are ongoing);
-  Construction of Water Supply System in Telavi  (assessment procedures are ongoing); 
- Construction water and sewerage systems in Gudauri (mobilization works are ongoing); 
-  Constraction of wastewater treatment plant in Gudauri (tendering procedures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</si>
  <si>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55 trainings (theoretical and practical trainin) were conducted for  2803 participants. 
- 419 small and large size grants were issued (410 for  enterprises ad 9 for processing enterprises); 
- Prerapartion of detailed project for  rehabilitation of distribution network for Tirifoni irrigation system in Gori Municipality is ongoing;
- The rehabilitation of the main channel and internal networks of irrigation system in Dzevera-Shurtula is completed;
-  The contruction works are ongoing for rehabilitation of the irrigation distribution system and network (Kvemo Alazani, Saltvisi); 
-  Contruction works are ongoing for rehabilitation / modernization of Qvemo Alazani irrigation system distribution channel;
-  Rehabilitation of small rural infrastructure (roads and bridges) is completed in Shida Kartli (Kareli, Gori) and  contruction works are ongoing in Samegrelo (Khobi);
- Rehabilitation of rural road is completed in Lagodekhi Municipality  in village Giorgeti; 
- Works on  landscape restoration plan of river Charebula in Shida Kartli, Gori Municipality is completed; 
- The landscape restoration plan, in particular Windmill Arrangement Plan is prepared in Shida Kartli, Gori Municipality, village Sakasheti.    </t>
    </r>
  </si>
  <si>
    <t>Implementation of energy efficiency activities in public buildings. (Introduction of renewable and alternative energy sources in administrative and educational buildings) (preparatory works are ongoing).</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</si>
  <si>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86 public schools and equipping  80 public schools  with natural laboratories in Shida Kartli, Samtskhe-Javakheti, Racha-Lechkhumi and Kvemo Svaneti regions (completed); 
- Full rehabilitation of 5 public schools (is ongoing), 4 schools are located in western Georgia and 1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17,656  teachers were trained, including 1861 non-georgian language teacher. 13 745  (including 1 104 non-Georgian language teachers) attended all three modules of general professional course. 
- Within the course of the subject methodology (Physics, Mathematics, Biology, Chemistry, English and Information Technology) 14 165  teachers were trained, including 1 229 non-georgian language teacher.
</t>
    </r>
    <r>
      <rPr>
        <b/>
        <sz val="12"/>
        <rFont val="Franklin Gothic Book"/>
        <family val="2"/>
        <scheme val="minor"/>
      </rPr>
      <t>Increase qualification of school directors</t>
    </r>
    <r>
      <rPr>
        <sz val="12"/>
        <rFont val="Franklin Gothic Book"/>
        <family val="2"/>
        <scheme val="minor"/>
      </rPr>
      <t xml:space="preserve">
- 1 880 (including 167 non-Georgian language) directors participated in the framework of the Academy Leadership 1.
- In total 2 048 directors participated in the framewrork of the Academy of Leadership 2, including from 182 non-Georgian schools. All 6 modules of course were attended by 1 677 (including 135 non-Georgian language directors) and 2 101 (including 104 non-Georgian) facilitators. 
- 1 757 (including 152 non-Georgian language directors) and 1 477 (including 122 non-Georgian language facilitators) attended the training in the framework of the Leadership Academy 3.
</t>
    </r>
    <r>
      <rPr>
        <b/>
        <sz val="12"/>
        <rFont val="Franklin Gothic Book"/>
        <family val="2"/>
        <scheme val="minor"/>
      </rPr>
      <t xml:space="preserve">Higher and Vocational  Education </t>
    </r>
    <r>
      <rPr>
        <sz val="12"/>
        <rFont val="Franklin Gothic Book"/>
        <family val="2"/>
        <scheme val="minor"/>
      </rPr>
      <t xml:space="preserve"> 
- Within the framework of the Vocational Education project, 51 new vocational education programs in line with labor market requirements,  in 10 professional institutions were established;  
-  At three Patrinor Universities of Georgia (TSU, TSU, GTU) through  Unified National Test four groups of students were accepted at the San Diego State University, 77 professors at the San Diego State University  passed the professional development/training program, rehabilitation and laboratory equipping of 5000 sq.m academic space has been implemented in partner Georgian State Universities (TSU, TSU, GTU).</t>
    </r>
  </si>
  <si>
    <t xml:space="preserve">Reconstruction - Rehabilitation and necessary efficiency improvements of approximately 25 public schools in Tbilisi. (preparatory works are ongoing). 
</t>
  </si>
  <si>
    <t xml:space="preserve"> - Development of a network of Innovation Hubs and Innovation Centers in the various cities and villages of Georgia; (the procedure for restructuring this component of the project is ongoing);
 - Support to increase adoption and use of broadband internet services and advanced information technology by Eligible Households and Eligible MSMEs in rural areas of Georgia  (the procedure for restructuring this component of the project is ongoing);
 - Developing the innovation capacity of individuals and firms.  (the procedure for restructuring this component of the project is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</si>
</sst>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22">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43" fontId="5" fillId="0" borderId="38" xfId="1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43" fontId="5" fillId="0" borderId="4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164" fontId="7"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33" xfId="1" applyNumberFormat="1" applyFont="1" applyFill="1" applyBorder="1" applyAlignment="1" applyProtection="1">
      <alignment horizontal="left" vertical="center" wrapText="1"/>
      <protection locked="0"/>
    </xf>
    <xf numFmtId="164" fontId="5" fillId="0" borderId="38" xfId="1" applyNumberFormat="1" applyFont="1" applyFill="1" applyBorder="1" applyAlignment="1">
      <alignment horizontal="center" vertical="center"/>
    </xf>
    <xf numFmtId="49" fontId="5" fillId="0" borderId="33"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0" fontId="5" fillId="2" borderId="31"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5" fillId="2" borderId="32" xfId="1" applyNumberFormat="1" applyFont="1" applyFill="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39" xfId="1" applyNumberFormat="1" applyFont="1" applyFill="1" applyBorder="1" applyAlignment="1">
      <alignment horizontal="center" vertical="center"/>
    </xf>
    <xf numFmtId="164" fontId="5" fillId="0" borderId="40"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165" fontId="7" fillId="0" borderId="32"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0" fontId="1" fillId="0" borderId="32" xfId="0" applyFont="1" applyBorder="1" applyAlignment="1">
      <alignment horizontal="center" vertical="center"/>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7" xfId="1" applyNumberFormat="1" applyFont="1" applyFill="1" applyBorder="1" applyAlignment="1">
      <alignment horizontal="center"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5" fillId="0" borderId="29" xfId="1" applyNumberFormat="1" applyFont="1" applyFill="1" applyBorder="1" applyAlignment="1">
      <alignment horizontal="center" vertical="center" wrapText="1"/>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29" xfId="1" applyNumberFormat="1" applyFont="1" applyFill="1" applyBorder="1" applyAlignment="1">
      <alignment horizontal="center" vertical="center"/>
    </xf>
    <xf numFmtId="165" fontId="7" fillId="0" borderId="40" xfId="1" applyNumberFormat="1" applyFont="1" applyFill="1" applyBorder="1" applyAlignment="1">
      <alignment horizontal="center" vertical="center" wrapText="1"/>
    </xf>
    <xf numFmtId="164" fontId="7" fillId="0" borderId="40"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January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April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Website"/>
    </sheetNames>
    <sheetDataSet>
      <sheetData sheetId="0">
        <row r="95">
          <cell r="G95">
            <v>1301050</v>
          </cell>
          <cell r="H95">
            <v>92700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I93">
            <v>137021.14980999997</v>
          </cell>
          <cell r="J93">
            <v>38639.992796306004</v>
          </cell>
          <cell r="K93">
            <v>4141449.787635</v>
          </cell>
          <cell r="L93">
            <v>513561.199777706</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9"/>
  <sheetViews>
    <sheetView showGridLines="0" tabSelected="1" view="pageBreakPreview" topLeftCell="A91" zoomScale="60" zoomScaleNormal="60" zoomScalePageLayoutView="40" workbookViewId="0">
      <selection activeCell="M92" sqref="M92"/>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115</v>
      </c>
      <c r="B2" s="16"/>
      <c r="C2" s="16"/>
      <c r="D2" s="15"/>
      <c r="E2" s="15"/>
      <c r="F2" s="15"/>
      <c r="G2" s="15"/>
      <c r="H2" s="15"/>
      <c r="I2" s="15"/>
      <c r="J2" s="15"/>
      <c r="K2" s="17"/>
      <c r="L2" s="15"/>
      <c r="M2" s="81"/>
    </row>
    <row r="3" spans="1:13" ht="27" customHeight="1" thickBot="1">
      <c r="A3" s="18" t="s">
        <v>156</v>
      </c>
      <c r="B3" s="19"/>
      <c r="C3" s="19"/>
      <c r="D3" s="20"/>
      <c r="E3" s="20"/>
      <c r="F3" s="20"/>
      <c r="G3" s="20"/>
      <c r="H3" s="20"/>
      <c r="I3" s="20"/>
      <c r="J3" s="20"/>
      <c r="K3" s="20"/>
      <c r="L3" s="20"/>
    </row>
    <row r="4" spans="1:13" s="6" customFormat="1" ht="54.6" customHeight="1">
      <c r="A4" s="195" t="s">
        <v>9</v>
      </c>
      <c r="B4" s="192" t="s">
        <v>69</v>
      </c>
      <c r="C4" s="192" t="s">
        <v>30</v>
      </c>
      <c r="D4" s="185" t="s">
        <v>29</v>
      </c>
      <c r="E4" s="185"/>
      <c r="F4" s="194"/>
      <c r="G4" s="184" t="s">
        <v>127</v>
      </c>
      <c r="H4" s="185"/>
      <c r="I4" s="184" t="s">
        <v>128</v>
      </c>
      <c r="J4" s="185"/>
      <c r="K4" s="183" t="s">
        <v>57</v>
      </c>
      <c r="L4" s="184"/>
      <c r="M4" s="178" t="s">
        <v>31</v>
      </c>
    </row>
    <row r="5" spans="1:13" s="6" customFormat="1" ht="50.45" customHeight="1" thickBot="1">
      <c r="A5" s="196"/>
      <c r="B5" s="193"/>
      <c r="C5" s="193"/>
      <c r="D5" s="197" t="s">
        <v>19</v>
      </c>
      <c r="E5" s="198"/>
      <c r="F5" s="199"/>
      <c r="G5" s="181" t="s">
        <v>6</v>
      </c>
      <c r="H5" s="182"/>
      <c r="I5" s="181" t="s">
        <v>6</v>
      </c>
      <c r="J5" s="182"/>
      <c r="K5" s="181" t="s">
        <v>6</v>
      </c>
      <c r="L5" s="182"/>
      <c r="M5" s="179"/>
    </row>
    <row r="6" spans="1:13" ht="28.5" customHeight="1" thickBot="1">
      <c r="A6" s="21"/>
      <c r="B6" s="22"/>
      <c r="C6" s="22"/>
      <c r="D6" s="23" t="s">
        <v>10</v>
      </c>
      <c r="E6" s="23" t="s">
        <v>11</v>
      </c>
      <c r="F6" s="23" t="s">
        <v>12</v>
      </c>
      <c r="G6" s="23" t="s">
        <v>11</v>
      </c>
      <c r="H6" s="23" t="s">
        <v>12</v>
      </c>
      <c r="I6" s="23" t="s">
        <v>11</v>
      </c>
      <c r="J6" s="23" t="s">
        <v>12</v>
      </c>
      <c r="K6" s="23" t="s">
        <v>11</v>
      </c>
      <c r="L6" s="23" t="s">
        <v>12</v>
      </c>
      <c r="M6" s="82"/>
    </row>
    <row r="7" spans="1:13" s="7" customFormat="1" ht="30" customHeight="1" thickBot="1">
      <c r="A7" s="200" t="s">
        <v>24</v>
      </c>
      <c r="B7" s="201"/>
      <c r="C7" s="201"/>
      <c r="D7" s="201"/>
      <c r="E7" s="201"/>
      <c r="F7" s="202"/>
      <c r="G7" s="24">
        <f t="shared" ref="G7:L7" si="0">SUM(G8:G35)</f>
        <v>680550</v>
      </c>
      <c r="H7" s="24">
        <f t="shared" si="0"/>
        <v>8050</v>
      </c>
      <c r="I7" s="24">
        <f t="shared" si="0"/>
        <v>51248.519029999981</v>
      </c>
      <c r="J7" s="24">
        <f t="shared" si="0"/>
        <v>928.64247</v>
      </c>
      <c r="K7" s="24">
        <f t="shared" si="0"/>
        <v>2053747.4292199998</v>
      </c>
      <c r="L7" s="24">
        <f t="shared" si="0"/>
        <v>31924.49181</v>
      </c>
      <c r="M7" s="83"/>
    </row>
    <row r="8" spans="1:13" ht="48" customHeight="1">
      <c r="A8" s="190" t="s">
        <v>54</v>
      </c>
      <c r="B8" s="203">
        <v>41431</v>
      </c>
      <c r="C8" s="215">
        <v>43524</v>
      </c>
      <c r="D8" s="25" t="s">
        <v>0</v>
      </c>
      <c r="E8" s="25">
        <v>24500</v>
      </c>
      <c r="F8" s="171"/>
      <c r="G8" s="171">
        <v>4000</v>
      </c>
      <c r="H8" s="176"/>
      <c r="I8" s="171">
        <v>5070.7583000000004</v>
      </c>
      <c r="J8" s="217"/>
      <c r="K8" s="171">
        <v>153930.04186</v>
      </c>
      <c r="L8" s="171"/>
      <c r="M8" s="180" t="s">
        <v>137</v>
      </c>
    </row>
    <row r="9" spans="1:13" ht="67.5" customHeight="1">
      <c r="A9" s="151"/>
      <c r="B9" s="153"/>
      <c r="C9" s="216"/>
      <c r="D9" s="26" t="s">
        <v>1</v>
      </c>
      <c r="E9" s="26">
        <v>38000</v>
      </c>
      <c r="F9" s="154"/>
      <c r="G9" s="154"/>
      <c r="H9" s="155"/>
      <c r="I9" s="154"/>
      <c r="J9" s="159"/>
      <c r="K9" s="154"/>
      <c r="L9" s="154"/>
      <c r="M9" s="150"/>
    </row>
    <row r="10" spans="1:13" s="9" customFormat="1" ht="46.9" customHeight="1">
      <c r="A10" s="151" t="s">
        <v>46</v>
      </c>
      <c r="B10" s="153">
        <v>42410</v>
      </c>
      <c r="C10" s="153">
        <v>44196</v>
      </c>
      <c r="D10" s="26" t="s">
        <v>1</v>
      </c>
      <c r="E10" s="26">
        <v>140000</v>
      </c>
      <c r="F10" s="26"/>
      <c r="G10" s="154">
        <v>55225</v>
      </c>
      <c r="H10" s="155"/>
      <c r="I10" s="154">
        <v>7565.1304099999998</v>
      </c>
      <c r="J10" s="159"/>
      <c r="K10" s="154">
        <f>102576.23686+I10</f>
        <v>110141.36727</v>
      </c>
      <c r="L10" s="154"/>
      <c r="M10" s="150" t="s">
        <v>157</v>
      </c>
    </row>
    <row r="11" spans="1:13" s="9" customFormat="1" ht="78.75" customHeight="1">
      <c r="A11" s="151"/>
      <c r="B11" s="153"/>
      <c r="C11" s="153"/>
      <c r="D11" s="26" t="s">
        <v>4</v>
      </c>
      <c r="E11" s="26">
        <v>49450</v>
      </c>
      <c r="F11" s="26"/>
      <c r="G11" s="154"/>
      <c r="H11" s="155"/>
      <c r="I11" s="154"/>
      <c r="J11" s="159"/>
      <c r="K11" s="154"/>
      <c r="L11" s="154"/>
      <c r="M11" s="150"/>
    </row>
    <row r="12" spans="1:13" ht="25.15" customHeight="1">
      <c r="A12" s="151" t="s">
        <v>56</v>
      </c>
      <c r="B12" s="153">
        <v>40115</v>
      </c>
      <c r="C12" s="153">
        <v>43737</v>
      </c>
      <c r="D12" s="26" t="s">
        <v>0</v>
      </c>
      <c r="E12" s="26">
        <v>75892</v>
      </c>
      <c r="F12" s="154"/>
      <c r="G12" s="154">
        <v>4000</v>
      </c>
      <c r="H12" s="155"/>
      <c r="I12" s="154">
        <v>6616.7413999999999</v>
      </c>
      <c r="J12" s="154"/>
      <c r="K12" s="154">
        <f>372829.86217+I12</f>
        <v>379446.60356999998</v>
      </c>
      <c r="L12" s="154"/>
      <c r="M12" s="150" t="s">
        <v>114</v>
      </c>
    </row>
    <row r="13" spans="1:13" ht="39" customHeight="1">
      <c r="A13" s="151"/>
      <c r="B13" s="153"/>
      <c r="C13" s="153"/>
      <c r="D13" s="26" t="s">
        <v>2</v>
      </c>
      <c r="E13" s="26">
        <v>140000</v>
      </c>
      <c r="F13" s="154"/>
      <c r="G13" s="154"/>
      <c r="H13" s="155"/>
      <c r="I13" s="154"/>
      <c r="J13" s="154"/>
      <c r="K13" s="154"/>
      <c r="L13" s="154"/>
      <c r="M13" s="150"/>
    </row>
    <row r="14" spans="1:13" s="9" customFormat="1" ht="24" customHeight="1">
      <c r="A14" s="166" t="s">
        <v>55</v>
      </c>
      <c r="B14" s="204" t="s">
        <v>71</v>
      </c>
      <c r="C14" s="204" t="s">
        <v>72</v>
      </c>
      <c r="D14" s="49" t="s">
        <v>4</v>
      </c>
      <c r="E14" s="49">
        <v>108190</v>
      </c>
      <c r="F14" s="163"/>
      <c r="G14" s="163">
        <v>56000</v>
      </c>
      <c r="H14" s="169"/>
      <c r="I14" s="169">
        <v>11617.722</v>
      </c>
      <c r="J14" s="163"/>
      <c r="K14" s="163">
        <f>61088.39635+I14</f>
        <v>72706.118350000004</v>
      </c>
      <c r="L14" s="163"/>
      <c r="M14" s="220" t="s">
        <v>116</v>
      </c>
    </row>
    <row r="15" spans="1:13" s="9" customFormat="1" ht="41.25" customHeight="1">
      <c r="A15" s="167"/>
      <c r="B15" s="205"/>
      <c r="C15" s="205"/>
      <c r="D15" s="49" t="s">
        <v>1</v>
      </c>
      <c r="E15" s="49">
        <v>114000</v>
      </c>
      <c r="F15" s="165"/>
      <c r="G15" s="165"/>
      <c r="H15" s="170"/>
      <c r="I15" s="170"/>
      <c r="J15" s="165"/>
      <c r="K15" s="165"/>
      <c r="L15" s="165"/>
      <c r="M15" s="221"/>
    </row>
    <row r="16" spans="1:13" ht="98.25" customHeight="1">
      <c r="A16" s="50" t="s">
        <v>20</v>
      </c>
      <c r="B16" s="14">
        <v>40163</v>
      </c>
      <c r="C16" s="28">
        <v>45101</v>
      </c>
      <c r="D16" s="26" t="s">
        <v>3</v>
      </c>
      <c r="E16" s="26">
        <v>22132000</v>
      </c>
      <c r="F16" s="26"/>
      <c r="G16" s="107">
        <v>1600</v>
      </c>
      <c r="H16" s="109"/>
      <c r="I16" s="143">
        <v>349.69790999999998</v>
      </c>
      <c r="J16" s="143"/>
      <c r="K16" s="143">
        <f>395400.05161+I16</f>
        <v>395749.74952000001</v>
      </c>
      <c r="L16" s="143"/>
      <c r="M16" s="80" t="s">
        <v>138</v>
      </c>
    </row>
    <row r="17" spans="1:18" ht="78" customHeight="1">
      <c r="A17" s="50" t="s">
        <v>37</v>
      </c>
      <c r="B17" s="14">
        <v>41040</v>
      </c>
      <c r="C17" s="14">
        <v>43797</v>
      </c>
      <c r="D17" s="26" t="s">
        <v>4</v>
      </c>
      <c r="E17" s="26">
        <v>200000</v>
      </c>
      <c r="F17" s="26">
        <v>20000</v>
      </c>
      <c r="G17" s="107">
        <v>52300</v>
      </c>
      <c r="H17" s="109">
        <v>8050</v>
      </c>
      <c r="I17" s="143">
        <v>6810.01883</v>
      </c>
      <c r="J17" s="143">
        <v>928.64247</v>
      </c>
      <c r="K17" s="143">
        <f>299698.79166+I17</f>
        <v>306508.81049</v>
      </c>
      <c r="L17" s="143">
        <f>30995.84934+J17</f>
        <v>31924.49181</v>
      </c>
      <c r="M17" s="80" t="s">
        <v>158</v>
      </c>
    </row>
    <row r="18" spans="1:18" s="9" customFormat="1" ht="40.9" customHeight="1">
      <c r="A18" s="206" t="s">
        <v>86</v>
      </c>
      <c r="B18" s="73" t="s">
        <v>111</v>
      </c>
      <c r="C18" s="73" t="s">
        <v>112</v>
      </c>
      <c r="D18" s="74" t="s">
        <v>4</v>
      </c>
      <c r="E18" s="74">
        <v>16000</v>
      </c>
      <c r="F18" s="74"/>
      <c r="G18" s="163">
        <v>45600</v>
      </c>
      <c r="H18" s="169"/>
      <c r="I18" s="163"/>
      <c r="J18" s="163"/>
      <c r="K18" s="163">
        <f>125.74445+I18</f>
        <v>125.74445</v>
      </c>
      <c r="L18" s="163"/>
      <c r="M18" s="220" t="s">
        <v>119</v>
      </c>
    </row>
    <row r="19" spans="1:18" s="9" customFormat="1" ht="36" customHeight="1">
      <c r="A19" s="207"/>
      <c r="B19" s="73"/>
      <c r="C19" s="73"/>
      <c r="D19" s="74"/>
      <c r="E19" s="74"/>
      <c r="F19" s="74"/>
      <c r="G19" s="165"/>
      <c r="H19" s="170"/>
      <c r="I19" s="165"/>
      <c r="J19" s="165"/>
      <c r="K19" s="165"/>
      <c r="L19" s="165"/>
      <c r="M19" s="221"/>
    </row>
    <row r="20" spans="1:18" s="9" customFormat="1" ht="60.75" customHeight="1">
      <c r="A20" s="75" t="s">
        <v>85</v>
      </c>
      <c r="B20" s="95">
        <v>43378</v>
      </c>
      <c r="C20" s="95">
        <v>45657</v>
      </c>
      <c r="D20" s="94" t="s">
        <v>4</v>
      </c>
      <c r="E20" s="94">
        <v>255.297</v>
      </c>
      <c r="F20" s="66"/>
      <c r="G20" s="107">
        <v>63550</v>
      </c>
      <c r="H20" s="66"/>
      <c r="I20" s="144">
        <v>267.71526</v>
      </c>
      <c r="J20" s="66"/>
      <c r="K20" s="143">
        <f>113756.3746+I20</f>
        <v>114024.08985999999</v>
      </c>
      <c r="L20" s="66"/>
      <c r="M20" s="80" t="s">
        <v>159</v>
      </c>
    </row>
    <row r="21" spans="1:18" s="9" customFormat="1" ht="39" customHeight="1">
      <c r="A21" s="75" t="s">
        <v>84</v>
      </c>
      <c r="B21" s="204">
        <v>42652</v>
      </c>
      <c r="C21" s="204">
        <v>44539</v>
      </c>
      <c r="D21" s="169" t="s">
        <v>4</v>
      </c>
      <c r="E21" s="169">
        <v>250</v>
      </c>
      <c r="F21" s="66"/>
      <c r="G21" s="107">
        <v>96850</v>
      </c>
      <c r="H21" s="66"/>
      <c r="I21" s="144">
        <v>25.443619999999999</v>
      </c>
      <c r="J21" s="66"/>
      <c r="K21" s="143">
        <f>201682.00984+I21</f>
        <v>201707.45346000002</v>
      </c>
      <c r="L21" s="66"/>
      <c r="M21" s="80" t="s">
        <v>149</v>
      </c>
    </row>
    <row r="22" spans="1:18" s="9" customFormat="1" ht="54.75" customHeight="1">
      <c r="A22" s="75" t="s">
        <v>83</v>
      </c>
      <c r="B22" s="218"/>
      <c r="C22" s="218"/>
      <c r="D22" s="219"/>
      <c r="E22" s="219"/>
      <c r="F22" s="66"/>
      <c r="G22" s="107">
        <v>48850</v>
      </c>
      <c r="H22" s="66"/>
      <c r="I22" s="66"/>
      <c r="J22" s="66"/>
      <c r="K22" s="143"/>
      <c r="L22" s="66"/>
      <c r="M22" s="80" t="s">
        <v>160</v>
      </c>
    </row>
    <row r="23" spans="1:18" s="9" customFormat="1" ht="48" customHeight="1">
      <c r="A23" s="75" t="s">
        <v>82</v>
      </c>
      <c r="B23" s="205"/>
      <c r="C23" s="205"/>
      <c r="D23" s="170"/>
      <c r="E23" s="170"/>
      <c r="F23" s="66"/>
      <c r="G23" s="107">
        <v>48700</v>
      </c>
      <c r="H23" s="66"/>
      <c r="I23" s="66"/>
      <c r="J23" s="66"/>
      <c r="K23" s="143">
        <f>20357.40381+I23</f>
        <v>20357.40381</v>
      </c>
      <c r="L23" s="66"/>
      <c r="M23" s="80" t="s">
        <v>150</v>
      </c>
    </row>
    <row r="24" spans="1:18" s="9" customFormat="1" ht="71.25" customHeight="1">
      <c r="A24" s="75" t="s">
        <v>81</v>
      </c>
      <c r="B24" s="65"/>
      <c r="C24" s="65"/>
      <c r="D24" s="66"/>
      <c r="E24" s="66"/>
      <c r="F24" s="66"/>
      <c r="G24" s="93"/>
      <c r="H24" s="66"/>
      <c r="I24" s="66"/>
      <c r="J24" s="66"/>
      <c r="K24" s="93"/>
      <c r="L24" s="66"/>
      <c r="M24" s="80" t="s">
        <v>161</v>
      </c>
    </row>
    <row r="25" spans="1:18" s="9" customFormat="1" ht="63.75" customHeight="1">
      <c r="A25" s="75" t="s">
        <v>77</v>
      </c>
      <c r="B25" s="65"/>
      <c r="C25" s="65"/>
      <c r="D25" s="66"/>
      <c r="E25" s="66"/>
      <c r="F25" s="66"/>
      <c r="G25" s="93"/>
      <c r="H25" s="66"/>
      <c r="I25" s="66"/>
      <c r="J25" s="66"/>
      <c r="K25" s="93"/>
      <c r="L25" s="66"/>
      <c r="M25" s="80" t="s">
        <v>88</v>
      </c>
    </row>
    <row r="26" spans="1:18" s="9" customFormat="1" ht="52.9" customHeight="1">
      <c r="A26" s="75" t="s">
        <v>87</v>
      </c>
      <c r="B26" s="65"/>
      <c r="C26" s="65"/>
      <c r="D26" s="66"/>
      <c r="E26" s="66"/>
      <c r="F26" s="66"/>
      <c r="G26" s="107">
        <v>122275</v>
      </c>
      <c r="H26" s="66"/>
      <c r="I26" s="66"/>
      <c r="J26" s="66"/>
      <c r="K26" s="107"/>
      <c r="L26" s="66"/>
      <c r="M26" s="80" t="s">
        <v>153</v>
      </c>
    </row>
    <row r="27" spans="1:18" s="9" customFormat="1" ht="33" customHeight="1">
      <c r="A27" s="75" t="s">
        <v>78</v>
      </c>
      <c r="B27" s="65"/>
      <c r="C27" s="65"/>
      <c r="D27" s="66"/>
      <c r="E27" s="66"/>
      <c r="F27" s="66"/>
      <c r="G27" s="93"/>
      <c r="H27" s="66"/>
      <c r="I27" s="66"/>
      <c r="J27" s="66"/>
      <c r="K27" s="93"/>
      <c r="L27" s="66"/>
      <c r="M27" s="80" t="s">
        <v>139</v>
      </c>
    </row>
    <row r="28" spans="1:18" s="9" customFormat="1" ht="34.5" customHeight="1">
      <c r="A28" s="75" t="s">
        <v>80</v>
      </c>
      <c r="B28" s="65"/>
      <c r="C28" s="65"/>
      <c r="D28" s="66"/>
      <c r="E28" s="66"/>
      <c r="F28" s="66"/>
      <c r="G28" s="93"/>
      <c r="H28" s="66"/>
      <c r="I28" s="66"/>
      <c r="J28" s="66"/>
      <c r="K28" s="93"/>
      <c r="L28" s="66"/>
      <c r="M28" s="80" t="s">
        <v>140</v>
      </c>
    </row>
    <row r="29" spans="1:18" s="3" customFormat="1" ht="28.5" customHeight="1">
      <c r="A29" s="191" t="s">
        <v>13</v>
      </c>
      <c r="B29" s="168">
        <v>40990</v>
      </c>
      <c r="C29" s="168">
        <v>43646</v>
      </c>
      <c r="D29" s="72" t="s">
        <v>0</v>
      </c>
      <c r="E29" s="72">
        <v>25800</v>
      </c>
      <c r="F29" s="154"/>
      <c r="G29" s="154">
        <v>2300</v>
      </c>
      <c r="H29" s="155"/>
      <c r="I29" s="154">
        <v>541.74595999999997</v>
      </c>
      <c r="J29" s="159"/>
      <c r="K29" s="154">
        <f>126586.68242+I29</f>
        <v>127128.42838</v>
      </c>
      <c r="L29" s="154"/>
      <c r="M29" s="150" t="s">
        <v>117</v>
      </c>
      <c r="N29" s="1"/>
      <c r="O29" s="1"/>
      <c r="P29" s="1"/>
      <c r="Q29" s="1"/>
      <c r="R29" s="1"/>
    </row>
    <row r="30" spans="1:18" s="3" customFormat="1" ht="19.899999999999999" customHeight="1">
      <c r="A30" s="191"/>
      <c r="B30" s="168"/>
      <c r="C30" s="168"/>
      <c r="D30" s="72" t="s">
        <v>1</v>
      </c>
      <c r="E30" s="72">
        <v>30000</v>
      </c>
      <c r="F30" s="154"/>
      <c r="G30" s="154"/>
      <c r="H30" s="155"/>
      <c r="I30" s="154"/>
      <c r="J30" s="159"/>
      <c r="K30" s="154"/>
      <c r="L30" s="154"/>
      <c r="M30" s="150"/>
      <c r="N30" s="1"/>
      <c r="O30" s="1"/>
      <c r="P30" s="1"/>
      <c r="Q30" s="1"/>
      <c r="R30" s="1"/>
    </row>
    <row r="31" spans="1:18" s="3" customFormat="1" ht="63.6" customHeight="1">
      <c r="A31" s="60" t="s">
        <v>66</v>
      </c>
      <c r="B31" s="48">
        <v>41829</v>
      </c>
      <c r="C31" s="48">
        <v>44012</v>
      </c>
      <c r="D31" s="72" t="s">
        <v>1</v>
      </c>
      <c r="E31" s="72">
        <v>75000</v>
      </c>
      <c r="F31" s="26"/>
      <c r="G31" s="107">
        <v>32000</v>
      </c>
      <c r="H31" s="109"/>
      <c r="I31" s="143">
        <v>8323.4969000000001</v>
      </c>
      <c r="J31" s="143"/>
      <c r="K31" s="143">
        <f>111232.66285+I31</f>
        <v>119556.15974999999</v>
      </c>
      <c r="L31" s="143"/>
      <c r="M31" s="80" t="s">
        <v>155</v>
      </c>
      <c r="N31" s="1"/>
      <c r="O31" s="1"/>
      <c r="P31" s="1"/>
      <c r="Q31" s="1"/>
      <c r="R31" s="1"/>
    </row>
    <row r="32" spans="1:18" s="3" customFormat="1" ht="87.75" customHeight="1">
      <c r="A32" s="60" t="s">
        <v>48</v>
      </c>
      <c r="B32" s="48">
        <v>42457</v>
      </c>
      <c r="C32" s="48">
        <v>44561</v>
      </c>
      <c r="D32" s="72" t="s">
        <v>1</v>
      </c>
      <c r="E32" s="72">
        <v>40000</v>
      </c>
      <c r="F32" s="26"/>
      <c r="G32" s="107">
        <v>20000</v>
      </c>
      <c r="H32" s="109"/>
      <c r="I32" s="143">
        <v>1461.36915</v>
      </c>
      <c r="J32" s="143"/>
      <c r="K32" s="143">
        <f>31603.92074+I32</f>
        <v>33065.28989</v>
      </c>
      <c r="L32" s="143"/>
      <c r="M32" s="80" t="s">
        <v>118</v>
      </c>
      <c r="N32" s="1"/>
      <c r="O32" s="1"/>
      <c r="P32" s="1"/>
      <c r="Q32" s="1"/>
      <c r="R32" s="1"/>
    </row>
    <row r="33" spans="1:18" s="3" customFormat="1" ht="52.5" customHeight="1">
      <c r="A33" s="75" t="s">
        <v>79</v>
      </c>
      <c r="B33" s="48" t="s">
        <v>74</v>
      </c>
      <c r="C33" s="48" t="s">
        <v>141</v>
      </c>
      <c r="D33" s="72" t="s">
        <v>1</v>
      </c>
      <c r="E33" s="72">
        <v>80000</v>
      </c>
      <c r="F33" s="69"/>
      <c r="G33" s="109">
        <v>15400</v>
      </c>
      <c r="H33" s="109"/>
      <c r="I33" s="144">
        <v>2501.0181499999999</v>
      </c>
      <c r="J33" s="144"/>
      <c r="K33" s="143">
        <f>15769.12805+I33</f>
        <v>18270.146199999999</v>
      </c>
      <c r="L33" s="144"/>
      <c r="M33" s="80" t="s">
        <v>162</v>
      </c>
      <c r="N33" s="91"/>
      <c r="O33" s="1"/>
      <c r="P33" s="1"/>
      <c r="Q33" s="1"/>
      <c r="R33" s="1"/>
    </row>
    <row r="34" spans="1:18" s="3" customFormat="1" ht="48.75" customHeight="1">
      <c r="A34" s="56" t="s">
        <v>44</v>
      </c>
      <c r="B34" s="14">
        <v>42752</v>
      </c>
      <c r="C34" s="14">
        <v>44196</v>
      </c>
      <c r="D34" s="26" t="s">
        <v>43</v>
      </c>
      <c r="E34" s="26">
        <v>8000</v>
      </c>
      <c r="F34" s="26"/>
      <c r="G34" s="107">
        <v>9200</v>
      </c>
      <c r="H34" s="109"/>
      <c r="I34" s="143">
        <v>97.661140000000003</v>
      </c>
      <c r="J34" s="143"/>
      <c r="K34" s="143">
        <f>795.30622+I34</f>
        <v>892.9673600000001</v>
      </c>
      <c r="L34" s="143"/>
      <c r="M34" s="80" t="s">
        <v>163</v>
      </c>
      <c r="N34" s="1"/>
      <c r="O34" s="1"/>
      <c r="P34" s="1"/>
      <c r="Q34" s="1"/>
      <c r="R34" s="1"/>
    </row>
    <row r="35" spans="1:18" s="3" customFormat="1" ht="57" customHeight="1" thickBot="1">
      <c r="A35" s="125" t="s">
        <v>45</v>
      </c>
      <c r="B35" s="126">
        <v>42734</v>
      </c>
      <c r="C35" s="126">
        <v>43830</v>
      </c>
      <c r="D35" s="127" t="s">
        <v>4</v>
      </c>
      <c r="E35" s="127">
        <v>6000</v>
      </c>
      <c r="F35" s="127"/>
      <c r="G35" s="127">
        <v>2700</v>
      </c>
      <c r="H35" s="128"/>
      <c r="I35" s="31"/>
      <c r="J35" s="31"/>
      <c r="K35" s="31">
        <f>137.055+I35</f>
        <v>137.05500000000001</v>
      </c>
      <c r="L35" s="31"/>
      <c r="M35" s="129" t="s">
        <v>154</v>
      </c>
      <c r="N35" s="1"/>
      <c r="O35" s="1"/>
      <c r="P35" s="1"/>
      <c r="Q35" s="1"/>
      <c r="R35" s="1"/>
    </row>
    <row r="36" spans="1:18" s="7" customFormat="1" ht="30" customHeight="1" thickBot="1">
      <c r="A36" s="156" t="s">
        <v>7</v>
      </c>
      <c r="B36" s="157"/>
      <c r="C36" s="157"/>
      <c r="D36" s="157"/>
      <c r="E36" s="157"/>
      <c r="F36" s="158"/>
      <c r="G36" s="38">
        <f>SUM(G37:G53)</f>
        <v>211480</v>
      </c>
      <c r="H36" s="38">
        <f t="shared" ref="H36:L36" si="1">SUM(H37:H53)</f>
        <v>7100</v>
      </c>
      <c r="I36" s="38">
        <f t="shared" si="1"/>
        <v>27374.467410000001</v>
      </c>
      <c r="J36" s="38">
        <f t="shared" si="1"/>
        <v>1405.06188</v>
      </c>
      <c r="K36" s="38">
        <f t="shared" si="1"/>
        <v>798459.1205699998</v>
      </c>
      <c r="L36" s="38">
        <f t="shared" si="1"/>
        <v>16294.087809999999</v>
      </c>
      <c r="M36" s="87"/>
    </row>
    <row r="37" spans="1:18" ht="52.5" customHeight="1">
      <c r="A37" s="55" t="s">
        <v>22</v>
      </c>
      <c r="B37" s="57">
        <v>41869</v>
      </c>
      <c r="C37" s="57">
        <v>43646</v>
      </c>
      <c r="D37" s="54" t="s">
        <v>1</v>
      </c>
      <c r="E37" s="54">
        <v>30000</v>
      </c>
      <c r="F37" s="54">
        <v>5000</v>
      </c>
      <c r="G37" s="32">
        <v>8800</v>
      </c>
      <c r="H37" s="67">
        <v>3600</v>
      </c>
      <c r="I37" s="32">
        <v>1978.4983999999999</v>
      </c>
      <c r="J37" s="67">
        <v>1405.06188</v>
      </c>
      <c r="K37" s="32">
        <f>42550.40846+I37</f>
        <v>44528.906859999996</v>
      </c>
      <c r="L37" s="32">
        <f>4758.74569+J37</f>
        <v>6163.8075699999999</v>
      </c>
      <c r="M37" s="85" t="s">
        <v>91</v>
      </c>
    </row>
    <row r="38" spans="1:18" ht="69" customHeight="1">
      <c r="A38" s="56" t="s">
        <v>14</v>
      </c>
      <c r="B38" s="51">
        <v>40227</v>
      </c>
      <c r="C38" s="28">
        <v>43465</v>
      </c>
      <c r="D38" s="52" t="s">
        <v>4</v>
      </c>
      <c r="E38" s="52">
        <v>3000</v>
      </c>
      <c r="F38" s="52"/>
      <c r="G38" s="140">
        <v>3000</v>
      </c>
      <c r="H38" s="117"/>
      <c r="I38" s="140"/>
      <c r="J38" s="140"/>
      <c r="K38" s="140">
        <f>74.757+I38</f>
        <v>74.757000000000005</v>
      </c>
      <c r="L38" s="140"/>
      <c r="M38" s="80" t="s">
        <v>92</v>
      </c>
    </row>
    <row r="39" spans="1:18" ht="85.5" customHeight="1">
      <c r="A39" s="56" t="s">
        <v>38</v>
      </c>
      <c r="B39" s="51">
        <v>41621</v>
      </c>
      <c r="C39" s="51">
        <v>43465</v>
      </c>
      <c r="D39" s="52" t="s">
        <v>4</v>
      </c>
      <c r="E39" s="52">
        <v>20000</v>
      </c>
      <c r="F39" s="52">
        <v>2000</v>
      </c>
      <c r="G39" s="140">
        <v>15000</v>
      </c>
      <c r="H39" s="117">
        <v>1000</v>
      </c>
      <c r="I39" s="140"/>
      <c r="J39" s="140"/>
      <c r="K39" s="33">
        <f>7439.85874+I39</f>
        <v>7439.8587399999997</v>
      </c>
      <c r="L39" s="140">
        <f>4849.88963+J39</f>
        <v>4849.8896299999997</v>
      </c>
      <c r="M39" s="80" t="s">
        <v>142</v>
      </c>
    </row>
    <row r="40" spans="1:18" ht="69.75" customHeight="1">
      <c r="A40" s="214" t="s">
        <v>67</v>
      </c>
      <c r="B40" s="153">
        <v>40350</v>
      </c>
      <c r="C40" s="153">
        <v>44030</v>
      </c>
      <c r="D40" s="52" t="s">
        <v>0</v>
      </c>
      <c r="E40" s="52">
        <f>57986+10639</f>
        <v>68625</v>
      </c>
      <c r="F40" s="154"/>
      <c r="G40" s="187">
        <v>59650</v>
      </c>
      <c r="H40" s="189"/>
      <c r="I40" s="186">
        <v>12583.568359999999</v>
      </c>
      <c r="J40" s="186"/>
      <c r="K40" s="212">
        <f>358756.19854+I40</f>
        <v>371339.76689999999</v>
      </c>
      <c r="L40" s="186"/>
      <c r="M40" s="150" t="s">
        <v>143</v>
      </c>
    </row>
    <row r="41" spans="1:18" ht="96.75" customHeight="1">
      <c r="A41" s="214"/>
      <c r="B41" s="153"/>
      <c r="C41" s="153"/>
      <c r="D41" s="52" t="s">
        <v>1</v>
      </c>
      <c r="E41" s="52">
        <f>48886+73000+20000</f>
        <v>141886</v>
      </c>
      <c r="F41" s="154"/>
      <c r="G41" s="188"/>
      <c r="H41" s="189"/>
      <c r="I41" s="186"/>
      <c r="J41" s="186"/>
      <c r="K41" s="213"/>
      <c r="L41" s="186"/>
      <c r="M41" s="150"/>
    </row>
    <row r="42" spans="1:18" ht="90.75" customHeight="1">
      <c r="A42" s="58" t="s">
        <v>49</v>
      </c>
      <c r="B42" s="51">
        <v>40996</v>
      </c>
      <c r="C42" s="51">
        <v>43403</v>
      </c>
      <c r="D42" s="52" t="s">
        <v>1</v>
      </c>
      <c r="E42" s="52">
        <v>60000</v>
      </c>
      <c r="F42" s="52"/>
      <c r="G42" s="140">
        <v>30</v>
      </c>
      <c r="H42" s="117"/>
      <c r="I42" s="140"/>
      <c r="J42" s="34"/>
      <c r="K42" s="140">
        <f>102881.35442+I42</f>
        <v>102881.35442</v>
      </c>
      <c r="L42" s="140"/>
      <c r="M42" s="80" t="s">
        <v>93</v>
      </c>
    </row>
    <row r="43" spans="1:18" ht="27.6" customHeight="1">
      <c r="A43" s="214" t="s">
        <v>15</v>
      </c>
      <c r="B43" s="153">
        <v>41222</v>
      </c>
      <c r="C43" s="153">
        <v>43830</v>
      </c>
      <c r="D43" s="52" t="s">
        <v>0</v>
      </c>
      <c r="E43" s="52">
        <v>19800</v>
      </c>
      <c r="F43" s="52"/>
      <c r="G43" s="186">
        <v>8500</v>
      </c>
      <c r="H43" s="189"/>
      <c r="I43" s="186">
        <v>3323.63265</v>
      </c>
      <c r="J43" s="186"/>
      <c r="K43" s="186">
        <f>57667.72863+I43</f>
        <v>60991.361279999997</v>
      </c>
      <c r="L43" s="186"/>
      <c r="M43" s="150" t="s">
        <v>110</v>
      </c>
    </row>
    <row r="44" spans="1:18" ht="41.25" customHeight="1">
      <c r="A44" s="214"/>
      <c r="B44" s="153"/>
      <c r="C44" s="153"/>
      <c r="D44" s="52" t="s">
        <v>1</v>
      </c>
      <c r="E44" s="52">
        <v>9000</v>
      </c>
      <c r="F44" s="52"/>
      <c r="G44" s="186"/>
      <c r="H44" s="189"/>
      <c r="I44" s="186"/>
      <c r="J44" s="186"/>
      <c r="K44" s="186"/>
      <c r="L44" s="186"/>
      <c r="M44" s="150"/>
    </row>
    <row r="45" spans="1:18" ht="56.25" customHeight="1">
      <c r="A45" s="58" t="s">
        <v>33</v>
      </c>
      <c r="B45" s="51">
        <v>42223</v>
      </c>
      <c r="C45" s="51">
        <v>43830</v>
      </c>
      <c r="D45" s="52" t="s">
        <v>1</v>
      </c>
      <c r="E45" s="52">
        <v>60000</v>
      </c>
      <c r="F45" s="52"/>
      <c r="G45" s="140">
        <v>24000</v>
      </c>
      <c r="H45" s="117"/>
      <c r="I45" s="147">
        <v>3317.364</v>
      </c>
      <c r="J45" s="147"/>
      <c r="K45" s="147">
        <f>31101.72865+I45</f>
        <v>34419.092649999999</v>
      </c>
      <c r="L45" s="147"/>
      <c r="M45" s="80" t="s">
        <v>94</v>
      </c>
    </row>
    <row r="46" spans="1:18" ht="47.25" customHeight="1">
      <c r="A46" s="56" t="s">
        <v>34</v>
      </c>
      <c r="B46" s="51">
        <v>42136</v>
      </c>
      <c r="C46" s="51">
        <v>43232</v>
      </c>
      <c r="D46" s="52" t="s">
        <v>4</v>
      </c>
      <c r="E46" s="52">
        <v>4300</v>
      </c>
      <c r="F46" s="52">
        <v>1843</v>
      </c>
      <c r="G46" s="140">
        <v>1000</v>
      </c>
      <c r="H46" s="117"/>
      <c r="I46" s="147"/>
      <c r="J46" s="147"/>
      <c r="K46" s="147">
        <f>119.7894+I46</f>
        <v>119.7894</v>
      </c>
      <c r="L46" s="147"/>
      <c r="M46" s="80" t="s">
        <v>95</v>
      </c>
    </row>
    <row r="47" spans="1:18" ht="53.25" customHeight="1">
      <c r="A47" s="56" t="s">
        <v>58</v>
      </c>
      <c r="B47" s="51">
        <v>42563</v>
      </c>
      <c r="C47" s="51">
        <v>43036</v>
      </c>
      <c r="D47" s="52" t="s">
        <v>4</v>
      </c>
      <c r="E47" s="52">
        <v>10000</v>
      </c>
      <c r="F47" s="52">
        <v>2000</v>
      </c>
      <c r="G47" s="140"/>
      <c r="H47" s="117">
        <v>500</v>
      </c>
      <c r="I47" s="147"/>
      <c r="J47" s="147"/>
      <c r="K47" s="147">
        <f>12332.76308+I47</f>
        <v>12332.763080000001</v>
      </c>
      <c r="L47" s="35">
        <f>5280.39061+J47</f>
        <v>5280.3906100000004</v>
      </c>
      <c r="M47" s="80" t="s">
        <v>96</v>
      </c>
    </row>
    <row r="48" spans="1:18" s="3" customFormat="1" ht="47.45" customHeight="1">
      <c r="A48" s="116" t="s">
        <v>129</v>
      </c>
      <c r="B48" s="120">
        <v>43285</v>
      </c>
      <c r="C48" s="121">
        <v>44016</v>
      </c>
      <c r="D48" s="115" t="s">
        <v>4</v>
      </c>
      <c r="E48" s="115">
        <v>2830</v>
      </c>
      <c r="F48" s="115">
        <v>1870</v>
      </c>
      <c r="G48" s="140">
        <v>3000</v>
      </c>
      <c r="H48" s="117">
        <v>1000</v>
      </c>
      <c r="I48" s="147"/>
      <c r="J48" s="34"/>
      <c r="K48" s="147"/>
      <c r="L48" s="147"/>
      <c r="M48" s="80" t="s">
        <v>167</v>
      </c>
      <c r="N48" s="1"/>
      <c r="O48" s="1"/>
      <c r="P48" s="1"/>
      <c r="Q48" s="1"/>
      <c r="R48" s="1"/>
    </row>
    <row r="49" spans="1:18" s="3" customFormat="1" ht="65.45" customHeight="1">
      <c r="A49" s="56" t="s">
        <v>41</v>
      </c>
      <c r="B49" s="51">
        <v>42411</v>
      </c>
      <c r="C49" s="51">
        <v>44238</v>
      </c>
      <c r="D49" s="52" t="s">
        <v>4</v>
      </c>
      <c r="E49" s="52">
        <v>100000</v>
      </c>
      <c r="F49" s="52"/>
      <c r="G49" s="140">
        <v>59500</v>
      </c>
      <c r="H49" s="117"/>
      <c r="I49" s="147">
        <v>5990.8658299999997</v>
      </c>
      <c r="J49" s="147"/>
      <c r="K49" s="147">
        <f>127652.683+I49</f>
        <v>133643.54883000001</v>
      </c>
      <c r="L49" s="147"/>
      <c r="M49" s="80" t="s">
        <v>97</v>
      </c>
      <c r="N49" s="1"/>
      <c r="O49" s="1"/>
      <c r="P49" s="1"/>
      <c r="Q49" s="1"/>
      <c r="R49" s="1"/>
    </row>
    <row r="50" spans="1:18" s="3" customFormat="1" ht="76.5" customHeight="1">
      <c r="A50" s="114" t="s">
        <v>61</v>
      </c>
      <c r="B50" s="111">
        <v>42713</v>
      </c>
      <c r="C50" s="111">
        <v>44561</v>
      </c>
      <c r="D50" s="107" t="s">
        <v>4</v>
      </c>
      <c r="E50" s="107">
        <v>100000</v>
      </c>
      <c r="F50" s="107"/>
      <c r="G50" s="140">
        <v>8000</v>
      </c>
      <c r="H50" s="117"/>
      <c r="I50" s="147"/>
      <c r="J50" s="147"/>
      <c r="K50" s="147"/>
      <c r="L50" s="147"/>
      <c r="M50" s="119" t="s">
        <v>144</v>
      </c>
      <c r="N50" s="1"/>
      <c r="O50" s="1"/>
      <c r="P50" s="1"/>
      <c r="Q50" s="1"/>
      <c r="R50" s="1"/>
    </row>
    <row r="51" spans="1:18" s="3" customFormat="1" ht="102.75" customHeight="1">
      <c r="A51" s="133" t="s">
        <v>151</v>
      </c>
      <c r="B51" s="131">
        <v>41884</v>
      </c>
      <c r="C51" s="131">
        <v>43830</v>
      </c>
      <c r="D51" s="130" t="s">
        <v>4</v>
      </c>
      <c r="E51" s="130">
        <v>13200</v>
      </c>
      <c r="F51" s="130"/>
      <c r="G51" s="140"/>
      <c r="H51" s="132"/>
      <c r="I51" s="147">
        <v>180.53817000000001</v>
      </c>
      <c r="J51" s="34"/>
      <c r="K51" s="147">
        <f>30507.38324+I51</f>
        <v>30687.921409999999</v>
      </c>
      <c r="L51" s="147"/>
      <c r="M51" s="141" t="s">
        <v>152</v>
      </c>
      <c r="N51" s="1"/>
      <c r="O51" s="1"/>
      <c r="P51" s="1"/>
      <c r="Q51" s="1"/>
      <c r="R51" s="1"/>
    </row>
    <row r="52" spans="1:18" s="3" customFormat="1" ht="75.75" customHeight="1">
      <c r="A52" s="114" t="s">
        <v>130</v>
      </c>
      <c r="B52" s="120">
        <v>43035</v>
      </c>
      <c r="C52" s="120">
        <v>44925</v>
      </c>
      <c r="D52" s="115" t="s">
        <v>4</v>
      </c>
      <c r="E52" s="115">
        <v>30000</v>
      </c>
      <c r="F52" s="115">
        <v>2000</v>
      </c>
      <c r="G52" s="140">
        <v>1000</v>
      </c>
      <c r="H52" s="117">
        <v>1000</v>
      </c>
      <c r="I52" s="115"/>
      <c r="J52" s="115"/>
      <c r="K52" s="115"/>
      <c r="L52" s="115"/>
      <c r="M52" s="119" t="s">
        <v>164</v>
      </c>
      <c r="N52" s="1"/>
      <c r="O52" s="1"/>
      <c r="P52" s="1"/>
      <c r="Q52" s="1"/>
      <c r="R52" s="1"/>
    </row>
    <row r="53" spans="1:18" s="3" customFormat="1" ht="81" customHeight="1" thickBot="1">
      <c r="A53" s="114" t="s">
        <v>131</v>
      </c>
      <c r="B53" s="122">
        <v>27.112017999999999</v>
      </c>
      <c r="C53" s="122">
        <v>27.112020999999999</v>
      </c>
      <c r="D53" s="62" t="s">
        <v>4</v>
      </c>
      <c r="E53" s="62">
        <v>15000</v>
      </c>
      <c r="F53" s="62"/>
      <c r="G53" s="62">
        <v>20000</v>
      </c>
      <c r="H53" s="70"/>
      <c r="I53" s="62"/>
      <c r="J53" s="62"/>
      <c r="K53" s="63"/>
      <c r="L53" s="62"/>
      <c r="M53" s="119" t="s">
        <v>148</v>
      </c>
      <c r="N53" s="1"/>
      <c r="O53" s="1"/>
      <c r="P53" s="1"/>
      <c r="Q53" s="1"/>
      <c r="R53" s="1"/>
    </row>
    <row r="54" spans="1:18" s="7" customFormat="1" ht="23.25" customHeight="1" thickBot="1">
      <c r="A54" s="209" t="s">
        <v>8</v>
      </c>
      <c r="B54" s="210"/>
      <c r="C54" s="210"/>
      <c r="D54" s="210"/>
      <c r="E54" s="210"/>
      <c r="F54" s="211"/>
      <c r="G54" s="36">
        <f>SUM(G55:G62)</f>
        <v>156290</v>
      </c>
      <c r="H54" s="36">
        <f t="shared" ref="H54:L54" si="2">SUM(H55:H62)</f>
        <v>11695</v>
      </c>
      <c r="I54" s="36">
        <f>SUM(I55:I62)</f>
        <v>44523.302029999999</v>
      </c>
      <c r="J54" s="36">
        <f t="shared" si="2"/>
        <v>5476.6346799999992</v>
      </c>
      <c r="K54" s="36">
        <f t="shared" si="2"/>
        <v>711896.77661399986</v>
      </c>
      <c r="L54" s="36">
        <f t="shared" si="2"/>
        <v>103097.05677</v>
      </c>
      <c r="M54" s="86"/>
    </row>
    <row r="55" spans="1:18" ht="42" customHeight="1">
      <c r="A55" s="55" t="s">
        <v>62</v>
      </c>
      <c r="B55" s="57">
        <v>39626</v>
      </c>
      <c r="C55" s="57">
        <v>43373</v>
      </c>
      <c r="D55" s="54" t="s">
        <v>4</v>
      </c>
      <c r="E55" s="54">
        <v>3700</v>
      </c>
      <c r="F55" s="54">
        <v>1814</v>
      </c>
      <c r="G55" s="106">
        <v>1500</v>
      </c>
      <c r="H55" s="108"/>
      <c r="I55" s="106"/>
      <c r="J55" s="113"/>
      <c r="K55" s="106">
        <f>6580.461404+I55</f>
        <v>6580.4614039999997</v>
      </c>
      <c r="L55" s="106">
        <f>3649.68102+J55</f>
        <v>3649.68102</v>
      </c>
      <c r="M55" s="85" t="s">
        <v>98</v>
      </c>
    </row>
    <row r="56" spans="1:18" ht="182.45" customHeight="1">
      <c r="A56" s="152" t="s">
        <v>51</v>
      </c>
      <c r="B56" s="153">
        <v>40673</v>
      </c>
      <c r="C56" s="153">
        <v>28.032021</v>
      </c>
      <c r="D56" s="52" t="s">
        <v>0</v>
      </c>
      <c r="E56" s="52">
        <f>51343+25047+64205+23005</f>
        <v>163600</v>
      </c>
      <c r="F56" s="154"/>
      <c r="G56" s="154">
        <v>122700</v>
      </c>
      <c r="H56" s="155"/>
      <c r="I56" s="155">
        <v>37168.595020000001</v>
      </c>
      <c r="J56" s="159"/>
      <c r="K56" s="154">
        <f>491362.10463+I56</f>
        <v>528530.69964999997</v>
      </c>
      <c r="L56" s="154"/>
      <c r="M56" s="150" t="s">
        <v>165</v>
      </c>
    </row>
    <row r="57" spans="1:18" ht="213.75" customHeight="1">
      <c r="A57" s="152"/>
      <c r="B57" s="153"/>
      <c r="C57" s="153"/>
      <c r="D57" s="52" t="s">
        <v>1</v>
      </c>
      <c r="E57" s="52">
        <f>108000+43000+99000</f>
        <v>250000</v>
      </c>
      <c r="F57" s="154"/>
      <c r="G57" s="154"/>
      <c r="H57" s="155"/>
      <c r="I57" s="155"/>
      <c r="J57" s="159"/>
      <c r="K57" s="154"/>
      <c r="L57" s="154"/>
      <c r="M57" s="150"/>
    </row>
    <row r="58" spans="1:18" ht="67.5" customHeight="1">
      <c r="A58" s="78" t="s">
        <v>76</v>
      </c>
      <c r="B58" s="77" t="s">
        <v>75</v>
      </c>
      <c r="C58" s="77">
        <v>44119</v>
      </c>
      <c r="D58" s="74" t="s">
        <v>4</v>
      </c>
      <c r="E58" s="76">
        <v>100</v>
      </c>
      <c r="F58" s="76"/>
      <c r="G58" s="107"/>
      <c r="H58" s="109">
        <v>2500</v>
      </c>
      <c r="I58" s="66"/>
      <c r="J58" s="88"/>
      <c r="K58" s="135">
        <f>35.07802+I58</f>
        <v>35.078020000000002</v>
      </c>
      <c r="L58" s="66"/>
      <c r="M58" s="80" t="s">
        <v>145</v>
      </c>
    </row>
    <row r="59" spans="1:18" ht="150" customHeight="1">
      <c r="A59" s="56" t="s">
        <v>50</v>
      </c>
      <c r="B59" s="51">
        <v>40773</v>
      </c>
      <c r="C59" s="51">
        <v>44284</v>
      </c>
      <c r="D59" s="53" t="s">
        <v>4</v>
      </c>
      <c r="E59" s="53">
        <f>2988.339+4000+20000</f>
        <v>26988.339</v>
      </c>
      <c r="F59" s="53">
        <f>4500+6728.536+9000+4000+7000</f>
        <v>31228.536</v>
      </c>
      <c r="G59" s="107">
        <v>18400</v>
      </c>
      <c r="H59" s="109">
        <v>2850</v>
      </c>
      <c r="I59" s="145">
        <v>2137.8195500000002</v>
      </c>
      <c r="J59" s="145">
        <v>1416.4972299999999</v>
      </c>
      <c r="K59" s="143">
        <f>46200.7648+I59</f>
        <v>48338.584349999997</v>
      </c>
      <c r="L59" s="145">
        <f>57507.50654+J59</f>
        <v>58924.003770000003</v>
      </c>
      <c r="M59" s="80" t="s">
        <v>99</v>
      </c>
    </row>
    <row r="60" spans="1:18" ht="44.25" customHeight="1">
      <c r="A60" s="56" t="s">
        <v>47</v>
      </c>
      <c r="B60" s="51">
        <v>42360</v>
      </c>
      <c r="C60" s="51">
        <v>44012</v>
      </c>
      <c r="D60" s="52" t="s">
        <v>4</v>
      </c>
      <c r="E60" s="52">
        <v>30000</v>
      </c>
      <c r="F60" s="52">
        <v>2000</v>
      </c>
      <c r="G60" s="107">
        <v>9690</v>
      </c>
      <c r="H60" s="109">
        <v>4345</v>
      </c>
      <c r="I60" s="143">
        <v>161.09530000000001</v>
      </c>
      <c r="J60" s="143">
        <v>220.72931</v>
      </c>
      <c r="K60" s="143">
        <f>34681.49112+I60</f>
        <v>34842.58642</v>
      </c>
      <c r="L60" s="143">
        <f>3499.04143+J60</f>
        <v>3719.7707400000004</v>
      </c>
      <c r="M60" s="80" t="s">
        <v>100</v>
      </c>
    </row>
    <row r="61" spans="1:18" ht="45" customHeight="1">
      <c r="A61" s="56" t="s">
        <v>59</v>
      </c>
      <c r="B61" s="51">
        <v>41506</v>
      </c>
      <c r="C61" s="28">
        <v>43332</v>
      </c>
      <c r="D61" s="52" t="s">
        <v>4</v>
      </c>
      <c r="E61" s="52">
        <v>40000</v>
      </c>
      <c r="F61" s="52">
        <v>8000</v>
      </c>
      <c r="G61" s="107">
        <v>4000</v>
      </c>
      <c r="H61" s="109">
        <v>700</v>
      </c>
      <c r="I61" s="143">
        <v>5055.79216</v>
      </c>
      <c r="J61" s="145">
        <v>1338.1045799999999</v>
      </c>
      <c r="K61" s="143">
        <f>88513.57461+I61</f>
        <v>93569.366769999993</v>
      </c>
      <c r="L61" s="143">
        <f>17820.5113+J61</f>
        <v>19158.615879999998</v>
      </c>
      <c r="M61" s="80" t="s">
        <v>101</v>
      </c>
    </row>
    <row r="62" spans="1:18" ht="45" customHeight="1" thickBot="1">
      <c r="A62" s="29" t="s">
        <v>52</v>
      </c>
      <c r="B62" s="30">
        <v>41480</v>
      </c>
      <c r="C62" s="30">
        <v>43889</v>
      </c>
      <c r="D62" s="31" t="s">
        <v>1</v>
      </c>
      <c r="E62" s="31"/>
      <c r="F62" s="31">
        <v>10052.155000000001</v>
      </c>
      <c r="G62" s="31"/>
      <c r="H62" s="68">
        <v>1300</v>
      </c>
      <c r="I62" s="31"/>
      <c r="J62" s="37">
        <v>2501.3035599999998</v>
      </c>
      <c r="K62" s="31"/>
      <c r="L62" s="31">
        <f>15143.6818+J62</f>
        <v>17644.985359999999</v>
      </c>
      <c r="M62" s="84" t="s">
        <v>73</v>
      </c>
    </row>
    <row r="63" spans="1:18" s="7" customFormat="1" ht="30" customHeight="1" thickBot="1">
      <c r="A63" s="156" t="s">
        <v>25</v>
      </c>
      <c r="B63" s="157"/>
      <c r="C63" s="157"/>
      <c r="D63" s="157"/>
      <c r="E63" s="157"/>
      <c r="F63" s="158"/>
      <c r="G63" s="38">
        <f>SUM(G64:G75)</f>
        <v>86600</v>
      </c>
      <c r="H63" s="38">
        <f t="shared" ref="H63:L63" si="3">SUM(H64:H75)</f>
        <v>14000</v>
      </c>
      <c r="I63" s="38">
        <f t="shared" si="3"/>
        <v>4164.5229600000002</v>
      </c>
      <c r="J63" s="38">
        <f t="shared" si="3"/>
        <v>0</v>
      </c>
      <c r="K63" s="38">
        <f t="shared" si="3"/>
        <v>262368.248525</v>
      </c>
      <c r="L63" s="38">
        <f t="shared" si="3"/>
        <v>20950.680079999998</v>
      </c>
      <c r="M63" s="87"/>
    </row>
    <row r="64" spans="1:18" ht="87.75" customHeight="1">
      <c r="A64" s="89" t="s">
        <v>89</v>
      </c>
      <c r="B64" s="90">
        <v>43105</v>
      </c>
      <c r="C64" s="90" t="s">
        <v>90</v>
      </c>
      <c r="D64" s="79" t="s">
        <v>4</v>
      </c>
      <c r="E64" s="79">
        <v>28000</v>
      </c>
      <c r="F64" s="79">
        <v>7000</v>
      </c>
      <c r="G64" s="106">
        <v>15000</v>
      </c>
      <c r="H64" s="108">
        <v>10000</v>
      </c>
      <c r="I64" s="143">
        <v>356.97039999999998</v>
      </c>
      <c r="J64" s="71"/>
      <c r="K64" s="142">
        <f>2588.27771+I64</f>
        <v>2945.24811</v>
      </c>
      <c r="L64" s="142"/>
      <c r="M64" s="85" t="s">
        <v>113</v>
      </c>
    </row>
    <row r="65" spans="1:13" ht="34.9" customHeight="1">
      <c r="A65" s="58" t="s">
        <v>39</v>
      </c>
      <c r="B65" s="160">
        <v>41572</v>
      </c>
      <c r="C65" s="160">
        <v>43463</v>
      </c>
      <c r="D65" s="163" t="s">
        <v>4</v>
      </c>
      <c r="E65" s="163">
        <f>25200+35000</f>
        <v>60200</v>
      </c>
      <c r="F65" s="52">
        <v>8000</v>
      </c>
      <c r="G65" s="107">
        <v>6400</v>
      </c>
      <c r="H65" s="109"/>
      <c r="I65" s="135">
        <v>666.02692999999999</v>
      </c>
      <c r="J65" s="135"/>
      <c r="K65" s="135">
        <f>92412.661955+I65</f>
        <v>93078.68888500001</v>
      </c>
      <c r="L65" s="135">
        <v>20950.680079999998</v>
      </c>
      <c r="M65" s="150" t="s">
        <v>102</v>
      </c>
    </row>
    <row r="66" spans="1:13" ht="30.75" customHeight="1">
      <c r="A66" s="58" t="s">
        <v>60</v>
      </c>
      <c r="B66" s="161"/>
      <c r="C66" s="161"/>
      <c r="D66" s="164"/>
      <c r="E66" s="164"/>
      <c r="F66" s="52"/>
      <c r="G66" s="107">
        <v>4700</v>
      </c>
      <c r="H66" s="109"/>
      <c r="I66" s="135">
        <v>3141.5256300000001</v>
      </c>
      <c r="J66" s="135"/>
      <c r="K66" s="135">
        <f>45219.89027+I66</f>
        <v>48361.415900000007</v>
      </c>
      <c r="L66" s="135"/>
      <c r="M66" s="150"/>
    </row>
    <row r="67" spans="1:13" ht="44.25" customHeight="1">
      <c r="A67" s="56" t="s">
        <v>63</v>
      </c>
      <c r="B67" s="162"/>
      <c r="C67" s="162"/>
      <c r="D67" s="165"/>
      <c r="E67" s="165"/>
      <c r="F67" s="52"/>
      <c r="G67" s="93"/>
      <c r="H67" s="94"/>
      <c r="I67" s="135"/>
      <c r="J67" s="136"/>
      <c r="K67" s="135">
        <v>5120.6747100000002</v>
      </c>
      <c r="L67" s="135"/>
      <c r="M67" s="80" t="s">
        <v>103</v>
      </c>
    </row>
    <row r="68" spans="1:13" ht="86.25" customHeight="1">
      <c r="A68" s="99" t="s">
        <v>120</v>
      </c>
      <c r="B68" s="101">
        <v>42838</v>
      </c>
      <c r="C68" s="101">
        <v>44742</v>
      </c>
      <c r="D68" s="98" t="s">
        <v>4</v>
      </c>
      <c r="E68" s="98">
        <v>125000</v>
      </c>
      <c r="F68" s="96"/>
      <c r="G68" s="107">
        <v>5000</v>
      </c>
      <c r="H68" s="109">
        <v>4000</v>
      </c>
      <c r="I68" s="135"/>
      <c r="J68" s="136"/>
      <c r="K68" s="135"/>
      <c r="L68" s="135"/>
      <c r="M68" s="100" t="s">
        <v>132</v>
      </c>
    </row>
    <row r="69" spans="1:13" ht="84" customHeight="1">
      <c r="A69" s="56" t="s">
        <v>40</v>
      </c>
      <c r="B69" s="153">
        <v>41885</v>
      </c>
      <c r="C69" s="153">
        <v>44378</v>
      </c>
      <c r="D69" s="52" t="s">
        <v>1</v>
      </c>
      <c r="E69" s="154">
        <v>60000</v>
      </c>
      <c r="F69" s="52"/>
      <c r="G69" s="107">
        <v>10000</v>
      </c>
      <c r="H69" s="109"/>
      <c r="I69" s="135"/>
      <c r="J69" s="136"/>
      <c r="K69" s="135">
        <f>112430.30228+I69</f>
        <v>112430.30228</v>
      </c>
      <c r="L69" s="135"/>
      <c r="M69" s="80" t="s">
        <v>104</v>
      </c>
    </row>
    <row r="70" spans="1:13" ht="36.75" customHeight="1">
      <c r="A70" s="56" t="s">
        <v>64</v>
      </c>
      <c r="B70" s="153"/>
      <c r="C70" s="153"/>
      <c r="D70" s="52" t="s">
        <v>1</v>
      </c>
      <c r="E70" s="177"/>
      <c r="F70" s="52"/>
      <c r="G70" s="107"/>
      <c r="H70" s="109"/>
      <c r="I70" s="135"/>
      <c r="J70" s="136"/>
      <c r="K70" s="135">
        <f>431.91864+I70</f>
        <v>431.91863999999998</v>
      </c>
      <c r="L70" s="135"/>
      <c r="M70" s="80" t="s">
        <v>105</v>
      </c>
    </row>
    <row r="71" spans="1:13" ht="158.25" customHeight="1">
      <c r="A71" s="99" t="s">
        <v>121</v>
      </c>
      <c r="B71" s="97"/>
      <c r="C71" s="97"/>
      <c r="D71" s="123" t="s">
        <v>4</v>
      </c>
      <c r="E71" s="107"/>
      <c r="F71" s="107"/>
      <c r="G71" s="107">
        <v>13500</v>
      </c>
      <c r="H71" s="109"/>
      <c r="I71" s="107"/>
      <c r="J71" s="112"/>
      <c r="K71" s="107"/>
      <c r="L71" s="96"/>
      <c r="M71" s="100" t="s">
        <v>122</v>
      </c>
    </row>
    <row r="72" spans="1:13" ht="69.75" customHeight="1">
      <c r="A72" s="99" t="s">
        <v>123</v>
      </c>
      <c r="B72" s="97"/>
      <c r="C72" s="97"/>
      <c r="D72" s="123" t="s">
        <v>1</v>
      </c>
      <c r="E72" s="107"/>
      <c r="F72" s="107"/>
      <c r="G72" s="107">
        <v>9000</v>
      </c>
      <c r="H72" s="109"/>
      <c r="I72" s="107"/>
      <c r="J72" s="112"/>
      <c r="K72" s="107"/>
      <c r="L72" s="97"/>
      <c r="M72" s="100" t="s">
        <v>124</v>
      </c>
    </row>
    <row r="73" spans="1:13" ht="106.5" customHeight="1">
      <c r="A73" s="99" t="s">
        <v>125</v>
      </c>
      <c r="B73" s="97"/>
      <c r="C73" s="97"/>
      <c r="D73" s="123" t="s">
        <v>4</v>
      </c>
      <c r="E73" s="107"/>
      <c r="F73" s="107"/>
      <c r="G73" s="107">
        <v>4500</v>
      </c>
      <c r="H73" s="109"/>
      <c r="I73" s="107"/>
      <c r="J73" s="112"/>
      <c r="K73" s="107"/>
      <c r="L73" s="97"/>
      <c r="M73" s="100" t="s">
        <v>126</v>
      </c>
    </row>
    <row r="74" spans="1:13" ht="43.5" customHeight="1">
      <c r="A74" s="118" t="s">
        <v>134</v>
      </c>
      <c r="B74" s="111"/>
      <c r="C74" s="28"/>
      <c r="D74" s="123" t="s">
        <v>4</v>
      </c>
      <c r="E74" s="107"/>
      <c r="F74" s="107"/>
      <c r="G74" s="107">
        <v>9500</v>
      </c>
      <c r="H74" s="109"/>
      <c r="I74" s="107"/>
      <c r="J74" s="112"/>
      <c r="K74" s="107"/>
      <c r="L74" s="109"/>
      <c r="M74" s="119" t="s">
        <v>136</v>
      </c>
    </row>
    <row r="75" spans="1:13" ht="39" customHeight="1" thickBot="1">
      <c r="A75" s="118" t="s">
        <v>135</v>
      </c>
      <c r="B75" s="111"/>
      <c r="C75" s="28"/>
      <c r="D75" s="123" t="s">
        <v>4</v>
      </c>
      <c r="E75" s="107"/>
      <c r="F75" s="107"/>
      <c r="G75" s="107">
        <v>9000</v>
      </c>
      <c r="H75" s="109"/>
      <c r="I75" s="107"/>
      <c r="J75" s="112"/>
      <c r="K75" s="107"/>
      <c r="L75" s="109"/>
      <c r="M75" s="119" t="s">
        <v>136</v>
      </c>
    </row>
    <row r="76" spans="1:13" s="7" customFormat="1" ht="33.6" customHeight="1" thickBot="1">
      <c r="A76" s="209" t="s">
        <v>26</v>
      </c>
      <c r="B76" s="210"/>
      <c r="C76" s="210"/>
      <c r="D76" s="210"/>
      <c r="E76" s="210"/>
      <c r="F76" s="211"/>
      <c r="G76" s="36">
        <f>G77+G80+G81</f>
        <v>19830</v>
      </c>
      <c r="H76" s="36">
        <f>SUM(H77:H82)</f>
        <v>4310</v>
      </c>
      <c r="I76" s="36">
        <f>SUM(I77:I82)</f>
        <v>5806.1241200000004</v>
      </c>
      <c r="J76" s="36">
        <f>SUM(J77:J82)</f>
        <v>1386.05502</v>
      </c>
      <c r="K76" s="36">
        <f>SUM(K77:K82)</f>
        <v>71651.663285999995</v>
      </c>
      <c r="L76" s="36">
        <f>SUM(L77:L82)</f>
        <v>7989.5385599999991</v>
      </c>
      <c r="M76" s="86"/>
    </row>
    <row r="77" spans="1:13" ht="66.599999999999994" customHeight="1">
      <c r="A77" s="175" t="s">
        <v>18</v>
      </c>
      <c r="B77" s="39">
        <v>42052</v>
      </c>
      <c r="C77" s="40">
        <v>43513</v>
      </c>
      <c r="D77" s="54" t="s">
        <v>0</v>
      </c>
      <c r="E77" s="54">
        <v>8610</v>
      </c>
      <c r="F77" s="54"/>
      <c r="G77" s="171">
        <v>6730</v>
      </c>
      <c r="H77" s="176">
        <v>4070</v>
      </c>
      <c r="I77" s="171">
        <v>3178.2687999999998</v>
      </c>
      <c r="J77" s="171">
        <v>1386.05502</v>
      </c>
      <c r="K77" s="171">
        <f>16279.05301+I77</f>
        <v>19457.321810000001</v>
      </c>
      <c r="L77" s="171">
        <f>6102.55654+J77</f>
        <v>7488.6115599999994</v>
      </c>
      <c r="M77" s="172" t="s">
        <v>166</v>
      </c>
    </row>
    <row r="78" spans="1:13" ht="78" customHeight="1">
      <c r="A78" s="152"/>
      <c r="B78" s="28">
        <v>41978</v>
      </c>
      <c r="C78" s="41">
        <v>42735</v>
      </c>
      <c r="D78" s="52" t="s">
        <v>1</v>
      </c>
      <c r="E78" s="52"/>
      <c r="F78" s="52">
        <v>500</v>
      </c>
      <c r="G78" s="154"/>
      <c r="H78" s="155"/>
      <c r="I78" s="154"/>
      <c r="J78" s="154"/>
      <c r="K78" s="154"/>
      <c r="L78" s="154"/>
      <c r="M78" s="173"/>
    </row>
    <row r="79" spans="1:13" ht="135" customHeight="1">
      <c r="A79" s="152"/>
      <c r="B79" s="28">
        <v>42052</v>
      </c>
      <c r="C79" s="42">
        <v>43513</v>
      </c>
      <c r="D79" s="52" t="s">
        <v>1</v>
      </c>
      <c r="E79" s="52"/>
      <c r="F79" s="52">
        <v>5300</v>
      </c>
      <c r="G79" s="154"/>
      <c r="H79" s="155"/>
      <c r="I79" s="154"/>
      <c r="J79" s="154"/>
      <c r="K79" s="154"/>
      <c r="L79" s="154"/>
      <c r="M79" s="174"/>
    </row>
    <row r="80" spans="1:13" ht="87" customHeight="1">
      <c r="A80" s="152" t="s">
        <v>17</v>
      </c>
      <c r="B80" s="153">
        <v>41964</v>
      </c>
      <c r="C80" s="153">
        <v>44408</v>
      </c>
      <c r="D80" s="159" t="s">
        <v>0</v>
      </c>
      <c r="E80" s="154">
        <v>32400</v>
      </c>
      <c r="F80" s="154"/>
      <c r="G80" s="107">
        <v>11000</v>
      </c>
      <c r="H80" s="107"/>
      <c r="I80" s="143">
        <v>1974.1224</v>
      </c>
      <c r="J80" s="145"/>
      <c r="K80" s="143">
        <f>45181.823066+I80</f>
        <v>47155.945465999997</v>
      </c>
      <c r="L80" s="143"/>
      <c r="M80" s="139" t="s">
        <v>106</v>
      </c>
    </row>
    <row r="81" spans="1:13" ht="78.75" customHeight="1">
      <c r="A81" s="152"/>
      <c r="B81" s="153"/>
      <c r="C81" s="153"/>
      <c r="D81" s="159"/>
      <c r="E81" s="154"/>
      <c r="F81" s="154"/>
      <c r="G81" s="107">
        <v>2100</v>
      </c>
      <c r="H81" s="107"/>
      <c r="I81" s="143">
        <v>653.73292000000004</v>
      </c>
      <c r="J81" s="145"/>
      <c r="K81" s="143">
        <f>4384.66309+I81</f>
        <v>5038.3960100000004</v>
      </c>
      <c r="L81" s="143"/>
      <c r="M81" s="134" t="s">
        <v>107</v>
      </c>
    </row>
    <row r="82" spans="1:13" ht="92.25" customHeight="1" thickBot="1">
      <c r="A82" s="29" t="s">
        <v>21</v>
      </c>
      <c r="B82" s="30">
        <v>41946</v>
      </c>
      <c r="C82" s="43">
        <v>43190</v>
      </c>
      <c r="D82" s="37" t="s">
        <v>4</v>
      </c>
      <c r="E82" s="31"/>
      <c r="F82" s="31">
        <v>861</v>
      </c>
      <c r="G82" s="31"/>
      <c r="H82" s="68">
        <v>240</v>
      </c>
      <c r="I82" s="68"/>
      <c r="J82" s="31"/>
      <c r="K82" s="31"/>
      <c r="L82" s="31">
        <f>500.927+J82</f>
        <v>500.92700000000002</v>
      </c>
      <c r="M82" s="84" t="s">
        <v>146</v>
      </c>
    </row>
    <row r="83" spans="1:13" s="7" customFormat="1" ht="29.25" customHeight="1" thickBot="1">
      <c r="A83" s="156" t="s">
        <v>27</v>
      </c>
      <c r="B83" s="157"/>
      <c r="C83" s="157"/>
      <c r="D83" s="157"/>
      <c r="E83" s="157"/>
      <c r="F83" s="158"/>
      <c r="G83" s="38">
        <f t="shared" ref="G83:L83" si="4">SUM(G84:G85)</f>
        <v>0</v>
      </c>
      <c r="H83" s="38">
        <f t="shared" si="4"/>
        <v>4645</v>
      </c>
      <c r="I83" s="38">
        <f t="shared" si="4"/>
        <v>0</v>
      </c>
      <c r="J83" s="38">
        <f t="shared" si="4"/>
        <v>442.69710999999995</v>
      </c>
      <c r="K83" s="38">
        <f t="shared" si="4"/>
        <v>0</v>
      </c>
      <c r="L83" s="38">
        <f t="shared" si="4"/>
        <v>22505.53112</v>
      </c>
      <c r="M83" s="87"/>
    </row>
    <row r="84" spans="1:13" ht="162" customHeight="1">
      <c r="A84" s="55" t="s">
        <v>23</v>
      </c>
      <c r="B84" s="39">
        <v>40119</v>
      </c>
      <c r="C84" s="57">
        <v>43465</v>
      </c>
      <c r="D84" s="54" t="s">
        <v>4</v>
      </c>
      <c r="E84" s="54"/>
      <c r="F84" s="64">
        <v>2267</v>
      </c>
      <c r="G84" s="64"/>
      <c r="H84" s="108">
        <v>1345</v>
      </c>
      <c r="I84" s="106"/>
      <c r="J84" s="146">
        <v>248.31630999999999</v>
      </c>
      <c r="K84" s="142"/>
      <c r="L84" s="142">
        <f>6077.20889+J84</f>
        <v>6325.5252</v>
      </c>
      <c r="M84" s="85" t="s">
        <v>108</v>
      </c>
    </row>
    <row r="85" spans="1:13" ht="186.75" customHeight="1" thickBot="1">
      <c r="A85" s="29" t="s">
        <v>16</v>
      </c>
      <c r="B85" s="43">
        <v>40589</v>
      </c>
      <c r="C85" s="43">
        <v>43100</v>
      </c>
      <c r="D85" s="37" t="s">
        <v>4</v>
      </c>
      <c r="E85" s="31"/>
      <c r="F85" s="31">
        <v>8250</v>
      </c>
      <c r="G85" s="31"/>
      <c r="H85" s="68">
        <v>3300</v>
      </c>
      <c r="I85" s="31"/>
      <c r="J85" s="31">
        <v>194.38079999999999</v>
      </c>
      <c r="K85" s="31"/>
      <c r="L85" s="31">
        <f>15985.62512+J85</f>
        <v>16180.005920000001</v>
      </c>
      <c r="M85" s="84" t="s">
        <v>109</v>
      </c>
    </row>
    <row r="86" spans="1:13" s="7" customFormat="1" ht="33" customHeight="1" thickBot="1">
      <c r="A86" s="209" t="s">
        <v>5</v>
      </c>
      <c r="B86" s="210"/>
      <c r="C86" s="210"/>
      <c r="D86" s="210"/>
      <c r="E86" s="210"/>
      <c r="F86" s="211"/>
      <c r="G86" s="36">
        <f t="shared" ref="G86:L86" si="5">SUM(G87:G92)</f>
        <v>146300</v>
      </c>
      <c r="H86" s="36">
        <f t="shared" si="5"/>
        <v>42900</v>
      </c>
      <c r="I86" s="36">
        <f t="shared" si="5"/>
        <v>3904.2142599999997</v>
      </c>
      <c r="J86" s="36">
        <f t="shared" si="5"/>
        <v>29000.901636306</v>
      </c>
      <c r="K86" s="36">
        <f t="shared" si="5"/>
        <v>243326.54941999997</v>
      </c>
      <c r="L86" s="36">
        <f t="shared" si="5"/>
        <v>310799.81362770603</v>
      </c>
      <c r="M86" s="86"/>
    </row>
    <row r="87" spans="1:13" ht="399" customHeight="1">
      <c r="A87" s="55" t="s">
        <v>65</v>
      </c>
      <c r="B87" s="39">
        <v>41103</v>
      </c>
      <c r="C87" s="39">
        <v>43307</v>
      </c>
      <c r="D87" s="59" t="s">
        <v>1</v>
      </c>
      <c r="E87" s="54"/>
      <c r="F87" s="54">
        <f>140000+2700</f>
        <v>142700</v>
      </c>
      <c r="G87" s="92"/>
      <c r="H87" s="108">
        <v>38900</v>
      </c>
      <c r="I87" s="138"/>
      <c r="J87" s="149">
        <v>29000.901636306</v>
      </c>
      <c r="K87" s="148"/>
      <c r="L87" s="148">
        <f>281798.9119914+J87</f>
        <v>310799.81362770603</v>
      </c>
      <c r="M87" s="85" t="s">
        <v>168</v>
      </c>
    </row>
    <row r="88" spans="1:13" ht="105.75" customHeight="1">
      <c r="A88" s="102" t="s">
        <v>53</v>
      </c>
      <c r="B88" s="51">
        <v>42661</v>
      </c>
      <c r="C88" s="51">
        <v>44377</v>
      </c>
      <c r="D88" s="52" t="s">
        <v>4</v>
      </c>
      <c r="E88" s="52">
        <v>14000</v>
      </c>
      <c r="F88" s="52"/>
      <c r="G88" s="107">
        <v>1500</v>
      </c>
      <c r="H88" s="109">
        <v>1000</v>
      </c>
      <c r="I88" s="135"/>
      <c r="J88" s="135"/>
      <c r="K88" s="135"/>
      <c r="L88" s="27">
        <v>0</v>
      </c>
      <c r="M88" s="80" t="s">
        <v>169</v>
      </c>
    </row>
    <row r="89" spans="1:13" ht="41.25" customHeight="1">
      <c r="A89" s="60" t="s">
        <v>42</v>
      </c>
      <c r="B89" s="48">
        <v>42346</v>
      </c>
      <c r="C89" s="48">
        <v>43228</v>
      </c>
      <c r="D89" s="49" t="s">
        <v>4</v>
      </c>
      <c r="E89" s="49">
        <v>82821</v>
      </c>
      <c r="F89" s="52"/>
      <c r="G89" s="107">
        <v>55000</v>
      </c>
      <c r="H89" s="109"/>
      <c r="I89" s="135"/>
      <c r="J89" s="135"/>
      <c r="K89" s="135">
        <f>226048.34892+I89</f>
        <v>226048.34891999999</v>
      </c>
      <c r="L89" s="135"/>
      <c r="M89" s="80" t="s">
        <v>70</v>
      </c>
    </row>
    <row r="90" spans="1:13" ht="49.5" customHeight="1">
      <c r="A90" s="61" t="s">
        <v>68</v>
      </c>
      <c r="B90" s="48">
        <v>42929</v>
      </c>
      <c r="C90" s="48">
        <v>43830</v>
      </c>
      <c r="D90" s="49" t="s">
        <v>4</v>
      </c>
      <c r="E90" s="49">
        <v>5500</v>
      </c>
      <c r="F90" s="52">
        <v>1500</v>
      </c>
      <c r="G90" s="107">
        <v>4800</v>
      </c>
      <c r="H90" s="109">
        <v>3000</v>
      </c>
      <c r="I90" s="135">
        <v>1017.89769</v>
      </c>
      <c r="J90" s="135"/>
      <c r="K90" s="135">
        <f>8749.28036+I90</f>
        <v>9767.1780500000004</v>
      </c>
      <c r="L90" s="27">
        <v>0</v>
      </c>
      <c r="M90" s="80" t="s">
        <v>147</v>
      </c>
    </row>
    <row r="91" spans="1:13" ht="48" customHeight="1">
      <c r="A91" s="61" t="s">
        <v>133</v>
      </c>
      <c r="B91" s="103"/>
      <c r="C91" s="103"/>
      <c r="D91" s="104"/>
      <c r="E91" s="104"/>
      <c r="F91" s="110"/>
      <c r="G91" s="110">
        <v>75000</v>
      </c>
      <c r="H91" s="104"/>
      <c r="I91" s="137"/>
      <c r="J91" s="137"/>
      <c r="K91" s="124"/>
      <c r="L91" s="124"/>
      <c r="M91" s="105" t="s">
        <v>136</v>
      </c>
    </row>
    <row r="92" spans="1:13" s="9" customFormat="1" ht="106.5" customHeight="1" thickBot="1">
      <c r="A92" s="29" t="s">
        <v>35</v>
      </c>
      <c r="B92" s="43">
        <v>42457</v>
      </c>
      <c r="C92" s="43">
        <v>44316</v>
      </c>
      <c r="D92" s="37" t="s">
        <v>1</v>
      </c>
      <c r="E92" s="31">
        <v>40000</v>
      </c>
      <c r="F92" s="31"/>
      <c r="G92" s="31">
        <v>10000</v>
      </c>
      <c r="H92" s="68"/>
      <c r="I92" s="31">
        <v>2886.31657</v>
      </c>
      <c r="J92" s="31"/>
      <c r="K92" s="31">
        <f>4624.70588+I92</f>
        <v>7511.0224500000004</v>
      </c>
      <c r="L92" s="31"/>
      <c r="M92" s="84" t="s">
        <v>170</v>
      </c>
    </row>
    <row r="93" spans="1:13" s="6" customFormat="1" ht="40.5" customHeight="1" thickBot="1">
      <c r="A93" s="44"/>
      <c r="B93" s="45"/>
      <c r="C93" s="45"/>
      <c r="D93" s="46"/>
      <c r="E93" s="47"/>
      <c r="F93" s="38" t="s">
        <v>28</v>
      </c>
      <c r="G93" s="38">
        <f t="shared" ref="G93:L93" si="6">G86+G83+G76+G63+G54+G36+G7</f>
        <v>1301050</v>
      </c>
      <c r="H93" s="38">
        <f t="shared" si="6"/>
        <v>92700</v>
      </c>
      <c r="I93" s="38">
        <f t="shared" si="6"/>
        <v>137021.14980999997</v>
      </c>
      <c r="J93" s="38">
        <f t="shared" si="6"/>
        <v>38639.992796306004</v>
      </c>
      <c r="K93" s="38">
        <f t="shared" si="6"/>
        <v>4141449.7876349995</v>
      </c>
      <c r="L93" s="38">
        <f t="shared" si="6"/>
        <v>513561.19977770606</v>
      </c>
      <c r="M93" s="81"/>
    </row>
    <row r="94" spans="1:13" ht="13.5" customHeight="1">
      <c r="A94" s="10"/>
      <c r="B94" s="8"/>
      <c r="C94" s="8"/>
      <c r="D94" s="10"/>
      <c r="E94" s="10"/>
      <c r="F94" s="10"/>
      <c r="G94" s="10"/>
      <c r="H94" s="10"/>
      <c r="I94" s="10"/>
      <c r="J94" s="10"/>
      <c r="K94" s="10"/>
      <c r="L94" s="10"/>
    </row>
    <row r="95" spans="1:13" ht="24.75" customHeight="1">
      <c r="A95" s="208" t="s">
        <v>32</v>
      </c>
      <c r="B95" s="208"/>
      <c r="C95" s="208"/>
      <c r="D95" s="208"/>
      <c r="E95" s="208"/>
      <c r="F95" s="208"/>
      <c r="G95" s="208"/>
      <c r="H95" s="208"/>
      <c r="I95" s="208"/>
      <c r="J95" s="208"/>
      <c r="K95" s="208"/>
      <c r="L95" s="208"/>
    </row>
    <row r="96" spans="1:13" ht="24" customHeight="1">
      <c r="A96" s="1" t="s">
        <v>36</v>
      </c>
      <c r="B96" s="2"/>
      <c r="D96" s="1"/>
      <c r="E96" s="1"/>
      <c r="F96" s="1"/>
      <c r="H96" s="1"/>
      <c r="I96" s="1"/>
      <c r="J96" s="1"/>
      <c r="K96" s="1"/>
      <c r="L96" s="1"/>
    </row>
    <row r="97" spans="1:12">
      <c r="A97" s="1"/>
      <c r="B97" s="2"/>
      <c r="D97" s="1"/>
      <c r="E97" s="1"/>
      <c r="F97" s="1"/>
      <c r="H97" s="1"/>
      <c r="I97" s="1"/>
      <c r="J97" s="1"/>
      <c r="K97" s="1"/>
      <c r="L97" s="1"/>
    </row>
    <row r="98" spans="1:12" ht="39" customHeight="1">
      <c r="G98" s="11">
        <f>G93-'[1]For Website'!$G$95</f>
        <v>0</v>
      </c>
      <c r="H98" s="12">
        <f>H93-'[1]For Website'!$H$95</f>
        <v>0</v>
      </c>
      <c r="I98" s="12">
        <f>I93-'[2]WEB-2019'!$I$93</f>
        <v>0</v>
      </c>
      <c r="J98" s="12">
        <f>J93-'[2]WEB-2019'!$J$93</f>
        <v>0</v>
      </c>
      <c r="K98" s="12">
        <f>K93-'[2]WEB-2019'!$K$93</f>
        <v>0</v>
      </c>
      <c r="L98" s="12">
        <f>L93-'[2]WEB-2019'!$L$93</f>
        <v>0</v>
      </c>
    </row>
    <row r="99" spans="1:12" ht="21.75" customHeight="1">
      <c r="G99" s="11"/>
      <c r="H99" s="12"/>
      <c r="I99" s="12"/>
      <c r="J99" s="12"/>
      <c r="K99" s="12"/>
      <c r="L99" s="12"/>
    </row>
  </sheetData>
  <mergeCells count="140">
    <mergeCell ref="B21:B23"/>
    <mergeCell ref="C21:C23"/>
    <mergeCell ref="D21:D23"/>
    <mergeCell ref="E21:E23"/>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 ref="B12:B13"/>
    <mergeCell ref="C8:C9"/>
    <mergeCell ref="C12:C13"/>
    <mergeCell ref="J10:J11"/>
    <mergeCell ref="I10:I11"/>
    <mergeCell ref="F8:F9"/>
    <mergeCell ref="K10:K11"/>
    <mergeCell ref="J8:J9"/>
    <mergeCell ref="H12:H13"/>
    <mergeCell ref="H10:H11"/>
    <mergeCell ref="A80:A81"/>
    <mergeCell ref="B80:B81"/>
    <mergeCell ref="C80:C81"/>
    <mergeCell ref="D80:D81"/>
    <mergeCell ref="E80:E81"/>
    <mergeCell ref="F80:F81"/>
    <mergeCell ref="A95:L95"/>
    <mergeCell ref="F40:F41"/>
    <mergeCell ref="A83:F83"/>
    <mergeCell ref="A86:F86"/>
    <mergeCell ref="J40:J41"/>
    <mergeCell ref="K40:K41"/>
    <mergeCell ref="A54:F54"/>
    <mergeCell ref="A63:F63"/>
    <mergeCell ref="A76:F76"/>
    <mergeCell ref="A40:A41"/>
    <mergeCell ref="B40:B41"/>
    <mergeCell ref="A43:A44"/>
    <mergeCell ref="B43:B44"/>
    <mergeCell ref="C43:C44"/>
    <mergeCell ref="G43:G44"/>
    <mergeCell ref="H43:H44"/>
    <mergeCell ref="I43:I44"/>
    <mergeCell ref="K77:K79"/>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M4:M5"/>
    <mergeCell ref="M8:M9"/>
    <mergeCell ref="M12:M13"/>
    <mergeCell ref="M29:M30"/>
    <mergeCell ref="M40:M41"/>
    <mergeCell ref="M10:M11"/>
    <mergeCell ref="M56:M57"/>
    <mergeCell ref="J56:J57"/>
    <mergeCell ref="G56:G57"/>
    <mergeCell ref="I56:I57"/>
    <mergeCell ref="K56:K57"/>
    <mergeCell ref="L56:L57"/>
    <mergeCell ref="I5:J5"/>
    <mergeCell ref="K5:L5"/>
    <mergeCell ref="K4:L4"/>
    <mergeCell ref="I4:J4"/>
    <mergeCell ref="L40:L41"/>
    <mergeCell ref="M43:M44"/>
    <mergeCell ref="J43:J44"/>
    <mergeCell ref="K43:K44"/>
    <mergeCell ref="L43:L44"/>
    <mergeCell ref="I40:I41"/>
    <mergeCell ref="G40:G41"/>
    <mergeCell ref="H40:H41"/>
    <mergeCell ref="L77:L79"/>
    <mergeCell ref="M77:M79"/>
    <mergeCell ref="A77:A79"/>
    <mergeCell ref="G77:G79"/>
    <mergeCell ref="H77:H79"/>
    <mergeCell ref="I77:I79"/>
    <mergeCell ref="J77:J79"/>
    <mergeCell ref="B69:B70"/>
    <mergeCell ref="C69:C70"/>
    <mergeCell ref="E69:E70"/>
    <mergeCell ref="M65:M66"/>
    <mergeCell ref="A10:A11"/>
    <mergeCell ref="A56:A57"/>
    <mergeCell ref="B56:B57"/>
    <mergeCell ref="C56:C57"/>
    <mergeCell ref="F56:F57"/>
    <mergeCell ref="H56:H57"/>
    <mergeCell ref="C40:C41"/>
    <mergeCell ref="A36:F36"/>
    <mergeCell ref="L29:L30"/>
    <mergeCell ref="I12:I13"/>
    <mergeCell ref="K29:K30"/>
    <mergeCell ref="J29:J30"/>
    <mergeCell ref="B65:B67"/>
    <mergeCell ref="C65:C67"/>
    <mergeCell ref="D65:D67"/>
    <mergeCell ref="E65:E67"/>
    <mergeCell ref="A14:A15"/>
    <mergeCell ref="B29:B30"/>
    <mergeCell ref="F29:F30"/>
    <mergeCell ref="G29:G30"/>
    <mergeCell ref="H29:H30"/>
    <mergeCell ref="I29:I30"/>
    <mergeCell ref="I14:I15"/>
  </mergeCells>
  <printOptions horizontalCentered="1"/>
  <pageMargins left="0" right="0" top="0.19685039370078741" bottom="0.23622047244094491" header="0" footer="0"/>
  <pageSetup paperSize="9" scale="35" fitToHeight="0" orientation="landscape" r:id="rId1"/>
  <headerFooter alignWithMargins="0"/>
  <rowBreaks count="2" manualBreakCount="2">
    <brk id="35" max="12" man="1"/>
    <brk id="5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2019-04-25T10:56:40Z</cp:lastPrinted>
  <dcterms:created xsi:type="dcterms:W3CDTF">2011-04-14T08:42:21Z</dcterms:created>
  <dcterms:modified xsi:type="dcterms:W3CDTF">2019-05-28T12:05:30Z</dcterms:modified>
</cp:coreProperties>
</file>