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nna.rusieshvili\Desktop\WEB info\WEB 2019\April\"/>
    </mc:Choice>
  </mc:AlternateContent>
  <bookViews>
    <workbookView xWindow="11130" yWindow="2520" windowWidth="11190" windowHeight="9660" tabRatio="200"/>
  </bookViews>
  <sheets>
    <sheet name="WEB-2019" sheetId="12" r:id="rId1"/>
  </sheets>
  <definedNames>
    <definedName name="_xlnm.Print_Area" localSheetId="0">'WEB-2019'!$A$1:$N$96</definedName>
    <definedName name="_xlnm.Print_Titles" localSheetId="0">'WEB-2019'!$A:$A,'WEB-2019'!$4:$6</definedName>
  </definedNames>
  <calcPr calcId="162913"/>
</workbook>
</file>

<file path=xl/calcChain.xml><?xml version="1.0" encoding="utf-8"?>
<calcChain xmlns="http://schemas.openxmlformats.org/spreadsheetml/2006/main">
  <c r="K14" i="12" l="1"/>
  <c r="J36" i="12" l="1"/>
  <c r="I36" i="12"/>
  <c r="K51" i="12"/>
  <c r="L63" i="12" l="1"/>
  <c r="J63" i="12"/>
  <c r="I63" i="12"/>
  <c r="H63" i="12"/>
  <c r="G63" i="12"/>
  <c r="J86" i="12" l="1"/>
  <c r="I86" i="12"/>
  <c r="H86" i="12"/>
  <c r="G86" i="12"/>
  <c r="J54" i="12" l="1"/>
  <c r="I54" i="12"/>
  <c r="H54" i="12"/>
  <c r="G54" i="12"/>
  <c r="G36" i="12"/>
  <c r="L17" i="12" l="1"/>
  <c r="L37" i="12"/>
  <c r="K37" i="12"/>
  <c r="K38" i="12"/>
  <c r="L39" i="12"/>
  <c r="K39" i="12"/>
  <c r="K40" i="12"/>
  <c r="K42" i="12"/>
  <c r="K43" i="12"/>
  <c r="K45" i="12"/>
  <c r="K46" i="12"/>
  <c r="L47" i="12"/>
  <c r="K47" i="12"/>
  <c r="K49" i="12"/>
  <c r="L62" i="12"/>
  <c r="L61" i="12"/>
  <c r="K61" i="12"/>
  <c r="K60" i="12"/>
  <c r="L60" i="12"/>
  <c r="L59" i="12"/>
  <c r="K59" i="12"/>
  <c r="K58" i="12"/>
  <c r="K56" i="12"/>
  <c r="L55" i="12"/>
  <c r="K55" i="12"/>
  <c r="L82" i="12"/>
  <c r="K81" i="12"/>
  <c r="K80" i="12"/>
  <c r="L77" i="12"/>
  <c r="K77" i="12"/>
  <c r="L85" i="12"/>
  <c r="L84" i="12"/>
  <c r="K90" i="12"/>
  <c r="K89" i="12"/>
  <c r="L87" i="12"/>
  <c r="L86" i="12" s="1"/>
  <c r="K33" i="12"/>
  <c r="K23" i="12"/>
  <c r="K70" i="12"/>
  <c r="K69" i="12"/>
  <c r="K66" i="12"/>
  <c r="K65" i="12"/>
  <c r="K64" i="12"/>
  <c r="K92" i="12"/>
  <c r="K86" i="12" s="1"/>
  <c r="K35" i="12"/>
  <c r="K34" i="12"/>
  <c r="K32" i="12"/>
  <c r="K31" i="12"/>
  <c r="K29" i="12"/>
  <c r="K21" i="12"/>
  <c r="K20" i="12"/>
  <c r="K18" i="12"/>
  <c r="K17" i="12"/>
  <c r="K16" i="12"/>
  <c r="K12" i="12"/>
  <c r="K10" i="12"/>
  <c r="K8" i="12"/>
  <c r="L36" i="12" l="1"/>
  <c r="K36" i="12"/>
  <c r="K63" i="12"/>
  <c r="K7" i="12"/>
  <c r="K54" i="12"/>
  <c r="L54" i="12"/>
  <c r="G7" i="12"/>
  <c r="H76" i="12" l="1"/>
  <c r="L76" i="12"/>
  <c r="K76" i="12"/>
  <c r="J76" i="12"/>
  <c r="I76" i="12"/>
  <c r="G76" i="12"/>
  <c r="H36" i="12" l="1"/>
  <c r="F59" i="12" l="1"/>
  <c r="E59" i="12"/>
  <c r="E40" i="12" l="1"/>
  <c r="E57" i="12" l="1"/>
  <c r="L7" i="12" l="1"/>
  <c r="J7" i="12"/>
  <c r="I7" i="12"/>
  <c r="H7" i="12"/>
  <c r="H83" i="12" l="1"/>
  <c r="H93" i="12" s="1"/>
  <c r="I83" i="12"/>
  <c r="I93" i="12" s="1"/>
  <c r="J83" i="12"/>
  <c r="J93" i="12" s="1"/>
  <c r="K83" i="12"/>
  <c r="G83" i="12"/>
  <c r="G93" i="12" s="1"/>
  <c r="K93" i="12" l="1"/>
  <c r="L83" i="12"/>
  <c r="L93" i="12" s="1"/>
  <c r="E56" i="12" l="1"/>
  <c r="E41" i="12"/>
  <c r="E65" i="12" l="1"/>
  <c r="F87" i="12"/>
</calcChain>
</file>

<file path=xl/sharedStrings.xml><?xml version="1.0" encoding="utf-8"?>
<sst xmlns="http://schemas.openxmlformats.org/spreadsheetml/2006/main" count="265" uniqueCount="186">
  <si>
    <t>განმახორციელებელი</t>
  </si>
  <si>
    <t>შიდასახელმწიფოებრივი და ადგილობრივი გზების პროექტი II (WB)</t>
  </si>
  <si>
    <t>რეგიონალური განვითარების პროექტი I ნაწილი (კახეთი) (WB)</t>
  </si>
  <si>
    <t>რეგიონალური განვითარების პროექტი II ნაწილი (იმერეთი) (WB)</t>
  </si>
  <si>
    <t xml:space="preserve">ურბანული მომსახურების გაუმჯობესების პროგრამა (წყალმომარაგებისა და წყალარინების სექტორი) (ADB) </t>
  </si>
  <si>
    <t>დაცული ტერიტორიების მხარდაჭერის პროგრამა კავკასიაში-საქართველო (ეკორეგიონული პროგრამა საქართველო, ფაზა III) (KfW)</t>
  </si>
  <si>
    <t>აჭარის მყარი ნარჩენების პროექტი (EBRD)</t>
  </si>
  <si>
    <t>საქართველოს გაერთიანებული წყალმომარაგების კომპანია</t>
  </si>
  <si>
    <t>ბათუმის მერია</t>
  </si>
  <si>
    <t>შპს ენგურჰესი</t>
  </si>
  <si>
    <t>პროექტი</t>
  </si>
  <si>
    <t>ენერგეტიკა</t>
  </si>
  <si>
    <t>ურბანული და მუნიციპალური ინფრასტრუქტურა</t>
  </si>
  <si>
    <t>საგზაო ინფრასტრუქტურა</t>
  </si>
  <si>
    <t>MCA-საქართველო</t>
  </si>
  <si>
    <t xml:space="preserve">წყლის ინფრასტრუქტურა </t>
  </si>
  <si>
    <t>დაცული ტერიტორიების განვითარება (CNF)</t>
  </si>
  <si>
    <t xml:space="preserve">სოფლის მეურნეობა </t>
  </si>
  <si>
    <t>სხვა</t>
  </si>
  <si>
    <t>გარემოს დაცვა</t>
  </si>
  <si>
    <t>სესხი</t>
  </si>
  <si>
    <t>გრანტი</t>
  </si>
  <si>
    <t>მდგრადი ურბანული ტრანსპორტის განვითარების საინვესტიციო პროგრამა (ADB)</t>
  </si>
  <si>
    <t>ქობულეთის წყალარინების რეაბილიტაცია (EBRD, ORET)</t>
  </si>
  <si>
    <t>SDR</t>
  </si>
  <si>
    <t>USD</t>
  </si>
  <si>
    <t>ვალუტა</t>
  </si>
  <si>
    <t>სულ</t>
  </si>
  <si>
    <t xml:space="preserve">USD </t>
  </si>
  <si>
    <t>საგზაო დერეფნის საინვესტიციო პროგრამა (ქობულეთის შემოვლითი გზა) (ADB)</t>
  </si>
  <si>
    <t>JPY</t>
  </si>
  <si>
    <t>EUR</t>
  </si>
  <si>
    <t>აღმოსავლეთ-დასავლეთის ჩქაროსნული ავტომაგისტრალის ზესტაფონი-ქუთაისი-სამტრედიის მონაკვეთის მშენებლობა (JICA)</t>
  </si>
  <si>
    <t>სს საქართველოს სახელმწიფო ელექტროსისტემა</t>
  </si>
  <si>
    <t xml:space="preserve">ხელშეკრულების ვალუტაში </t>
  </si>
  <si>
    <t>აღმოსავლეთ-დასავლეთის სატრანზიტო მაგისტრალი IV (აგარა-ზემო ოსიაური) (WB)</t>
  </si>
  <si>
    <t>საკანალიზაციო სისტემების მდგრადი მართვის პროექტი (SIDA)</t>
  </si>
  <si>
    <t>კომენტარი</t>
  </si>
  <si>
    <t xml:space="preserve">შეთანხმებული თანხა </t>
  </si>
  <si>
    <t>აჭარის ავტონომიური რესპუბლიკის ფინანსთა და ეკონომიკის სამინისტრო</t>
  </si>
  <si>
    <t>სსიპ საქართველოს მუნიციპალური განვითარების ფონდი</t>
  </si>
  <si>
    <t>საქართველოს რეგიონული განვითარებისა და ინფრასტრუქტურის სამინისტრო</t>
  </si>
  <si>
    <t>საქართველოს საავტომობილო გზების დეპარტამენტი</t>
  </si>
  <si>
    <t>სახელმწიფო ბიუჯეტში ასახული დონორების მხარდაჭერით დაფინანსებული პროგრამები და პროექტები</t>
  </si>
  <si>
    <t>სსიპ დაცული ტერიტორიების სააგენტო</t>
  </si>
  <si>
    <t>ლარში</t>
  </si>
  <si>
    <t>შიდასახელმწიფოებრივი და ადგილობრივი გზების პროექტი III (WB)</t>
  </si>
  <si>
    <t>შპს მყარი ნარჩენების მართვის კომპანია</t>
  </si>
  <si>
    <t>პროექტის დასრულების თარიღი</t>
  </si>
  <si>
    <t>ათასწლეულის გამოწვევა საქართველოს - მეორე კომპაქტი (MCC)</t>
  </si>
  <si>
    <t xml:space="preserve"> სულ ათვისებული თანხა (საკასო) **</t>
  </si>
  <si>
    <t>რეგიონალური და მუნიციპალური ინფრასტრუქტურის განვითარების პროექტი II (WB)</t>
  </si>
  <si>
    <t>სოფლის მეურნეობის მოდერნიზაციის, ბაზარზე წვდომისა და მდგრადობის პროექტი (GEF, IFAD)</t>
  </si>
  <si>
    <t>ზემო სამგორის სარწყავი სისტემის რეაბილიტაცია (ORIO)</t>
  </si>
  <si>
    <t xml:space="preserve">ირიგაციისა და დრენაჟის სისტემების გაუმჯობესება (WB) </t>
  </si>
  <si>
    <t>რეგიონალური განვითარების პროექტი III ნაწილი (მცხეთა-მთიანეთი და სამცხე-ჯავახეთი) (WB)</t>
  </si>
  <si>
    <t>ქვემო ქართლის ნარჩენების მართვის პროექტი (EBRD, SIDA)</t>
  </si>
  <si>
    <t>აღმოსავლეთ-დასავლეთის ჩქაროსნული ავტომაგისტრალის მოდერნიზაცია-მშენებლობა სამტრედია-გრიგოლეთის მონაკვეთზე (EIB, EU)</t>
  </si>
  <si>
    <t>ქუთაისის მყარი ნარჩენების პროექტი (KfW, EU)</t>
  </si>
  <si>
    <t>ინოვაციური ეკოსისტემის განვითარება (IBRD)</t>
  </si>
  <si>
    <t>საქართველოს შეიარაღებული ძალების შესაძლებლობების გაძლიერება (საფრანგეთი - SG)</t>
  </si>
  <si>
    <t>საქართველოს ურბანული რეკონსტრუქციის და განვითარების პროექტი (EIB)</t>
  </si>
  <si>
    <t>220კვ "ახალციხე-ბათუმი" ხაზის მშენებლობა (WB)</t>
  </si>
  <si>
    <t>შიდასახელმწიფოებრივი გზების აქტივების მართვის პროექტი (WB)</t>
  </si>
  <si>
    <t>ბათუმი (ანგისა) - ახალციხის საავტომობილო გზის ხულო-ზარზმის მონაკვეთის რეაბილიტაცია-რეკონსტრუქცია (Kuwait Fund)</t>
  </si>
  <si>
    <t>მდინარე დებედაზე ხიდის მშენებლობა (EBRD)</t>
  </si>
  <si>
    <t>აღმოსავლეთ-დასავლეთის ჩქაროსნული ავტომაგისტრალის დერეფნის გაუმჯობესების პროექტი (ზემო ოსიაური-რიკოთი) (WB, EIB)</t>
  </si>
  <si>
    <t>KWD</t>
  </si>
  <si>
    <t>საქართველოს მუნიციპალური ინფრასტრუქტურის განახლების პროექტი (EIB)</t>
  </si>
  <si>
    <t xml:space="preserve">ბათუმში კომუნალური ინფრასტრუქტურის დაწესებულებათა რეაბილიტაცია (III ფაზა) (KfW, EU-NIF) </t>
  </si>
  <si>
    <t>ბათუმის ავტობუსების პროექტი (E5P, EBRD)</t>
  </si>
  <si>
    <t>თბილისის საჯარო სკოლების რეაბილიტაცია და ენერგო ეფექტურობის გაზრდის პროექტი (CEB, E5P)</t>
  </si>
  <si>
    <t>500 კვ ეგხ წყალტუბო -ახალციხე - ტორტუმი (KfW)</t>
  </si>
  <si>
    <t>250 მგვარ რეაქტორი ქ/ს ზესტაფონში (EBRD)</t>
  </si>
  <si>
    <t>საქართველოს ელექტროენერგეტიკული სექტორის განვითარების შეფასება (WB)</t>
  </si>
  <si>
    <t>ჩრდილოეთის რგოლი ეგხ (I ფაზა) (EBRD, KfW)</t>
  </si>
  <si>
    <t>500 კვ ეგხ ჯვარი-წყალტუბო (WB)</t>
  </si>
  <si>
    <t>გურიის ელგადაცემის ხაზების ინფრასტრუქტურის გაძლიერება (KfW)</t>
  </si>
  <si>
    <t xml:space="preserve">ბათუმში კომუნალური ინფრასტრუქტურის დაწესებულებათა რეაბილიტაცია (IV ფაზა) (KfW) </t>
  </si>
  <si>
    <t>ქ. ბათუმის ახალი შემოვლითი გზა (ADB, AIIB)</t>
  </si>
  <si>
    <t xml:space="preserve"> - დაახლოებით 100 კილომეტრი 500კვ ერთჯაჭვა გადამცემი ხაზის „ჯვარი-წყალტუბო“ მშენებლობა;
 - 500კვ ქვესადგურის „წყალტუბო“ მშენებლობა.
(დაგეგმილი)</t>
  </si>
  <si>
    <t xml:space="preserve"> - 220/110კვ ქვესადგური "ოზურგეთი", 250 მვა დადგმული სიმძლავრით;
 - 220კვ ეგხ "პალიასტომი"-დან ორჯაჭვა ეგხ-ის შეჭრა 220/110 კვ ქს-ში "ოზურგეთი";
 - ახალი 110კვ ქვესადგურის მშენებლობა ჩოხატაურში;
 - ახალი ორჯაჭვა 110კვ ხაზი "ოზურგეთი-ჩოხატაური"
 (დაგეგმილი)</t>
  </si>
  <si>
    <t>საქართველოში მყარი ნარჩენების მართვის პროექტი (EBRD)</t>
  </si>
  <si>
    <t xml:space="preserve"> - ბათუმში წყალმომარაგების და საკანალიზაციო ქსელის რეაბილიტაცია (სამუშაოების ნაწილი დასრულდა);
 - წყლის რეზერვუარების მშენებლობა - რეაბილიტაცია (დასრულდა);
 - გამწმენდი ნაგებობების მშენებლობა - რეაბილიტაცია (დასრულდა);
 - საკანალიზაციო სისტემის შექმნა აჭარის სანაპირო სოფლებში, კერძოდ გონიოში, კვარიათში, სარფში და ახალსოფელში (დასრულდა);
 - ბათუმის მიმდებარე სამ სოფელში (ჩაქვი, მწვანე კონცხი და მახინჯაური)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(მიმდინარეობს);
 - ბათუმში სანიაღვრე სისტემის ნაწილის რეაბილიტაცია (მიმდინარეობს);
 - ბათუმში წყლის მრიცხველების დამონტაჟება (სამუშაოები მიმდინარეობს).</t>
  </si>
  <si>
    <t xml:space="preserve"> წყლის ინფრასტრუქტურის განახლების პროექტი II (EIB, EU)</t>
  </si>
  <si>
    <t>500-220 კვ ქ/ს-ის "ჯვარი" და შესაბამისი ელექტროგადამცემი ხაზების მშენებლობა (EBRD, KfW, EU)</t>
  </si>
  <si>
    <t>500 კვ ეგხ-ის მშენებლობა ქსანი-სტეფანწმინდა (KfW)</t>
  </si>
  <si>
    <t>*პროექტები, რომელთა დასაფინანსებლად სხვადასხვა დროს გაფორმდა რამდენიმე ხელშეკრულება, მითითებულია პირველი ხელშეკრულების ხელმოწერის თარიღი</t>
  </si>
  <si>
    <r>
      <rPr>
        <sz val="12"/>
        <rFont val="Arial"/>
        <family val="2"/>
        <charset val="204"/>
      </rPr>
      <t>**</t>
    </r>
    <r>
      <rPr>
        <sz val="12"/>
        <rFont val="Franklin Gothic Book"/>
        <family val="2"/>
        <scheme val="minor"/>
      </rPr>
      <t xml:space="preserve">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</t>
    </r>
  </si>
  <si>
    <t xml:space="preserve"> - 220 კვ ორჯაჭვა ეგხ "ხუდონი-ნენსკრა" მშენებლობა;
 - 110 კვ ეგხ "ხუდონი - მესტია" მშენებლობა;
 - 125 მვა, 110/35 კვ ქვესადგური "მესტია" მშენებლობა;
 - 500/220/110კვ ქვესადგური "ხუდონი" მშენებლობა;
 - 500კვ ეგხ კავკასიონი"-ს შეჭრა ქვესადგურში "ხუდონი";
 - 110 კვ ორჯაჭვა ხაზი "ხელედულა - ჯახუნდერი" მშენებლობა;
 - 220/110 კვ 125 მგვა ქ/ს ლაჯანურის მშენებლობა/გაფართოება 
 (დაგეგმილი)</t>
  </si>
  <si>
    <t>ელექტროენერგიის სექტორის სტრატეგიული გარემოსდაცვითი ზემოქმედების შეფასება (მიმდინარებს)</t>
  </si>
  <si>
    <t>საქართველოს შეიარაღებული ძალების შესაძლებლობების გაძლიერება (მიმდინარეობს)</t>
  </si>
  <si>
    <r>
      <t>ხელშეკრულების ხელმოწერის თარიღი</t>
    </r>
    <r>
      <rPr>
        <b/>
        <sz val="14"/>
        <color theme="1"/>
        <rFont val="Calibri"/>
        <family val="2"/>
      </rPr>
      <t>*</t>
    </r>
  </si>
  <si>
    <t>წყალტუბოსა და თელავში საკანალიზაციო სისტემების გამწმენდი ნაგებობების მშენებლობა (მიმდინარეობს სამშენებლო სამუშაოები).</t>
  </si>
  <si>
    <t>02.04.2019</t>
  </si>
  <si>
    <t>შიდასახელმწიფოებრივი მნიშვნელობის ძირულა-ხარაგაული-მოლითი-ფონა-ჩუმათელეთის საავტომობილო გზის ჩუმათელეთი-ხარაგაულის მონაკვეთის რეაბილიტაცია-რეკონსტრუქცია (ADB)</t>
  </si>
  <si>
    <t>19,06,2017</t>
  </si>
  <si>
    <t>31,08,2021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</si>
  <si>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(ADB)</t>
  </si>
  <si>
    <t>თბილისი-სენაკი-ლესელიძის საავტომობილო გზის უბისა ძირულას მონაკვეთის რეკონსტრუქცია-მშენებლობა (EIB)</t>
  </si>
  <si>
    <t>თბილისი-სენაკი-ლესელიძის საავტომობილო გზის ძირულა არგვეთას მონაკვეთის რეკონსტრუქცია-მშენებლობა (JICA)</t>
  </si>
  <si>
    <t>სენაკი-ფოთი-სარფის საავტომობილო გზის კმ48-კმ64 გრიგოლეთი-ჩოლოქის მონაკვეთის მშენებლობა (EIB)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</si>
  <si>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(EIB)</t>
  </si>
  <si>
    <t>ალგეთი-სადახლოს საავტომობილო გზის მშენებლობა-მოდერნიზაცია (EIB)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</si>
  <si>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(ADB)</t>
  </si>
  <si>
    <t>მდინარე რიონზე ფოთის ხიდის მშენებლობა (EIB)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</si>
  <si>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(EIB)</t>
  </si>
  <si>
    <t>ქუთაისის წყალარინების პროექტი (EIB, EPTATF)</t>
  </si>
  <si>
    <t>04,12,2017</t>
  </si>
  <si>
    <t>31,12,2023</t>
  </si>
  <si>
    <t>მდინარე რიონზე ფოთის ხიდის მშენებლობა    (დაგეგმილი)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</si>
  <si>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  (დაგეგმილი)</t>
  </si>
  <si>
    <t>თბილისი-სენაკი-ლესელიძის საავტომობილო გზის ჩუმათელეთი-ხევის მონაკვეთის რეკონსტრუქცია-მშენებლობა (EIB, WB)</t>
  </si>
  <si>
    <t>31,12,2021</t>
  </si>
  <si>
    <t xml:space="preserve"> ენგურის ჰიდროელექტროსადგურების რეაბილიტაციის პროექტი  -  კლიმატური პიროგებისადმი მდგრადობის გაუმჯობესება (EBRD , EU)</t>
  </si>
  <si>
    <t>2019 წლის ბიუჯეტით დამტკიცებული თანხა</t>
  </si>
  <si>
    <t>2019 წლის განმავლობაში ათვისებული თანხა (საკასო) **</t>
  </si>
  <si>
    <t>საქართველოში საჯარო შენობების ენერგოეფექტურობის გაუმჯობესება და განახლებადი-ალტერნატიული ენერგიის გამოყენება (E5P, NEFCO)</t>
  </si>
  <si>
    <t>მყარი ნარჩენების ინტეგრირებული მართვის პროგრამა II (კახეთი, სამეგრელო-ზემო სვანეთი) (KfW)</t>
  </si>
  <si>
    <t>თბილისის მყარი ნარჩენების მართვის პროექტი (EBRD)</t>
  </si>
  <si>
    <t xml:space="preserve">კახეთის ინფრასტრუქტურის გაძლიერება (KfW) </t>
  </si>
  <si>
    <t>ხელედულა-ლაჯანური-ონი (KfW)</t>
  </si>
  <si>
    <t>თბილისის ავტობუსების პროექტი (ფაზა II)
 (EBRD)</t>
  </si>
  <si>
    <t xml:space="preserve"> - აგარა - ზემო ოსიაურის მონაკვეთზე (დაახლოებით 12 კმ) ავტომაგისტრალის მშენებლობა (დასრულდა; მოძრაობა გახსნილია 7 კილომეტრიან მონაკვეთზე; დარჩენილ 5კმ-ზე მოძრაობა გაიხსნება მას შემდეგ, რაც დასრულდება მონაკვეთის - ზემო ოსიაური-ჩუმათელეთის მშენებლობა);
  - ნაპირსამაგრი ნაგებობის (დაახლოებით 3.4 კმ) მშენებლობა (დასრულდა);
  - რიკოთი - ზესტაფონის მონაკვეთზე ახალი ავტომაგისტრალის მშენებლობის ტექნიკურ - ეკონომიკური შესწავლა (მათ შორის რიკოთის მეორე გვირაბი) და სხვა მოსამზადებელი სამუშაოები (დასრულდა).</t>
  </si>
  <si>
    <t>ქობულეთის ახალი შემოვლითი გზის მშენებლობა (დაახლოებით 32 კმ სიგრძე) (პირველი მონაკვეთი (12.4 კმ + 1.3 კმ) გახსნილია, სამშენებლო სამუშაოები დასრულდა მეორე მონაკვეთზე (18 კმ), მოძრაობა გახსნილია).</t>
  </si>
  <si>
    <t xml:space="preserve">  - ბათუმის შემოვლითი, 14.3 კილომეტრიანი, ორ ზოლიანი გზის მშენებლობა  (მიმდინარეობს  სამშენებლო სამუშაოები);
 - დაახლოებით 200 კილომეტრი სიგრძის საერთაშორისო და ადგილობრივი გზების მოვლა-შენახვა (დაგეგმილი).</t>
  </si>
  <si>
    <t xml:space="preserve"> - ზესტაფონი - ქუთაისის ახალი შემოვლითი გზის მშენებლობა (15.2 კმ) (დასრულდა; 14 კმ. გზის მონაკვეთი გახსნილია მოძრაობისთვის);
 - ქუთაისის ახალი შემოვლითი გზის მშენებლობა (სამშენებლო სამუშაოები დასრულდა და შემოვლითი გზის 17.3 კილომეტრიანი მონაკვეთი გაიხსნა 2014 წელს);
 - ქუთაისი - სამტრედიის მონაკვეთზე ახალი გზის მშენებლობა (სამშენებლო სამუშაოები დასრულდა, 24 კილომეტრიან მონაკვეთზე მოძრაობა გახსნილია).</t>
  </si>
  <si>
    <t xml:space="preserve">  - აღმოსავლეთ-დასავლეთის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მაგისტრალად (მიმდინარეობს სატენდერო პროცედურები მშენებელ-კონტრაქტორის შესარჩევად).
პროექტი განხორციელდება EIB-ის თანამონაწილეობით.</t>
  </si>
  <si>
    <t>ალგეთი-სადახლოს საავტომობილო გზის მშენებლობა-მოდერნიზაცია   (დაგეგმილი).</t>
  </si>
  <si>
    <t>საქართველოს სხვადასხვა რეგიონში (დაახლოებით 225 კმ საერთო სიგრძის) შიდასახელმწიფოებრივი და ადგილობრივი გზების რეაბილიტაცია დასრულდა.</t>
  </si>
  <si>
    <t xml:space="preserve">   - გურიის რეგიონში შერჩეული შიდასახელმწიფოებრივი გზების მონაკვეთების რეაბილიტაცია, პერიოდული და მიმდინარე მოვლა შენახვა, ტექნიკური სამუშაოები (დაგეგმილი);
 - მცხეთა-მთიანეთში, რაჭა-ლეჩხუმსა და შიდა ქართლის რეგიონებში შერჩეული შიდასახელმწიფოებრივი გზების მონაკვეთების რეაბილიტაცია  პროექტირება-მშენებლობის პირობებით (მიმდინარეობს საპროექტო და სარეაბილიტაციო  სამუშაოები);
 - სამშენებლო კონტრაქტების მონიტორინგი და ზედამხედველობა (4 საგზაო მონაკვეთის სარეაბილიტაციო სამუშაოების ზედამხედველობა - მიმდინარეობს).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</si>
  <si>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 (მიმდინარეობს სამშენებლო სამუშაოები).</t>
  </si>
  <si>
    <t xml:space="preserve"> - აჭარაში (ქობულეთში, სოფელ ცეცხლაურთან) თანამედროვე ტიპის ნაგავსაყრელის მშენებლობა (მიმდინარეობს პროექტის მოსამზადებელი სამუშაოები);
 - ბათუმის არსებული ნაგავსაყრელის დახურვა (დახურვა მოხდება ახალი ნაგავსაყრელის ამოქმედების შემდეგ).</t>
  </si>
  <si>
    <t xml:space="preserve">  - ახალი ნაგავსაყრელის (ქუთაისის შესასვლელი, სოფელი ჭოგნარი) მოწყობა (მიმდინარეობს მოსამზადებელი სამუშაოები);
 - მყარი ნარჩენების ტრანსპორტირებისა და ნაგავსაყრელის ფუნქციონირებისათვის საჭირო მანქანების/აღჭურვილობის შეძენა (დაგეგმილი)
 - ქუთაისის არსებული ნაგავსაყრელის დახურვა (დაიხურება ქუთაისის ახალი ნაგავსაყრელის ამოქმედების შემდეგ).</t>
  </si>
  <si>
    <t xml:space="preserve"> - ზუგდიდი - მესტიის გზის რეაბილიტაცია (დასრულდა);
 - ანაკლიის ნაპირდაცვა- I  ფაზა (დასრულდა);
- თბილისში მეტროსადგური "უნივერსიტეტი" მშენებლობა (დასრულდა). 
 - თბილისი - რუსთავის ავტომაგისტრალის მშენებლობა I-II  მონაკვეთი (დასრულდა);
- თბილისი - რუსთავის ავტომაგისტრალის მშენებლობა II  მონაკვეთი (მიმდინარეობს სამშენებლო სამუშაოები);
 - ანაკლიის ნაპირდაცვა-  II ფაზა (დასრულდა);
 - ქალაქ ბათუმში ნაპირდაცვის სამუშაოები (მიმდინარეობს სამშენებლო სამუშაოები);
- თბილისის მეტროს რეაბილიტაცია  (მეტროს ელექტროგაყვანილობის და სავენტილაციო სისტემის გამოცვლა) (მიმდინარეობს სამშენებლო სამუშაოები).</t>
  </si>
  <si>
    <t xml:space="preserve"> - თელავში, ყვარელში და ახმეტაში ინფრასტრუქტურის რეაბილიტაცია (მუნიციპალური და კომუნალური ინფრასტრუქტურა, ისტორიული უბნების რეაბილიტაცია) (ძირითადი სამუშაოები დასრულებულია);
 - კახეთის მასშტაბით კულტურული მემკვიდრეობის ძეგლების კეთილმოწყობა (ძირითადი სამუშაოები დასრულებულია);
 - კერძო სექტორის ხელშეწყობა ტურიზმის და სოფლის მეურნეობის სექტორში (დასრულდა).</t>
  </si>
  <si>
    <t xml:space="preserve"> - წყალტუბოში ინფრასტრუქტურის რეაბილიტაცია;
 - იმერეთის მასშტაბით კულტურული მემკვიდრეობის ძეგლების კეთილმოწყობა (დამხმარე ინფრასტრუქტურა)
(მიმდინარეობს სამშენებლო სამუშაოები).</t>
  </si>
  <si>
    <t>მცხეთა-მთიანეთში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(მიმდინარეობს სამშენებლო სამუშაოები).</t>
  </si>
  <si>
    <t>ქვემო ქართლის რეგიონში (მარნეული) ახალი ნაგავსაყრელის მშენებლობა (მიმდინარეობს მოსამზადებელი სამუშაოები).</t>
  </si>
  <si>
    <t>ნაგავმზიდი მანქანებისა და მყარი ნარჩენების კონტეინერების შეძენა (მიმდინარეობს, შეძენილი იქნა და მუნიციპალიტეტებს გადაეცა დაახლოებით 150 ნაგავმზიდი მანქანა და დაახლოებით 7200 მყარი ნარჩენების კონტეინერი).</t>
  </si>
  <si>
    <t xml:space="preserve"> - 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რეაბილიტაცია);
 - თბილისში 2015 წელს წყალდიდობის შედეგად დაზიანებული ინფრასტრუქტურის რეაბილიტაცია
(მიმდინარეობს სამშენებლო სამუშაოები).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</si>
  <si>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რეაბილიტაცია).</t>
  </si>
  <si>
    <t>ქ. ქობულეთში კანალიზაციის გამწმენდი ნაგებობის მშენებლობა (მიმდინარეობს).</t>
  </si>
  <si>
    <t xml:space="preserve">27.01.2019  </t>
  </si>
  <si>
    <t>15.10.2015</t>
  </si>
  <si>
    <t>15.10.2020</t>
  </si>
  <si>
    <t>ქალაქ ქუთაისის წყალარინების სისტემის და გამწმენდი ნაგებობის მშენებლობა (მიმდინარეობს სარეაბილიტაციო სამუშაოების  პროექტირებისა  და ზედამხედველობის მომსახურების  შესყიდვასთან დაკავშირებული პროცედურები).</t>
  </si>
  <si>
    <t>ბათუმში წყალმომარაგების და წყალარინების სისტემის რეაბილიტაცია და გაფართოება (მიმდინარეობს).</t>
  </si>
  <si>
    <t>საქართველოს სხვადასხვა რეგიონში წყლის მიწოდების გაუმჯობესება (მიმდინარეობს).</t>
  </si>
  <si>
    <t xml:space="preserve">  - ენგურის ჰიდროელექტროსადგურის კასკადის რეაბილიტაციის დასრულება, 
 საქართველოში  სუფთა განახლებადი ენერგიის ხელმისაწვდომლობის გაზრდის მიზნით;  
  -   ენგურის ჰიდროელექტროსადგურის რეაბილიტაციის დასრულების ხელშეწყობა, მათ შორის საგანგებო რემონტის  განხორციელება  მიწისქვეშა გვირაბსა თუ მილსადენზე, მთლიანი წარმოების გაზრდის მიზნით;
 -  კლიმატური პიროპებისადმი მდგრადობის გაუმჯობესების უზრუნველყოფა.</t>
  </si>
  <si>
    <t xml:space="preserve"> - ახალი 500/220 კვ ქვესადგურის მშენებლობა ჯვარში (მიმდინარეობს);
 -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(მიმდინარეობს);
 - ქვესადგურების ქსანის და სტეფანწმინდის დამაკავშირებელი ელექტროგადამცემი ხაზის მშენებლობა (500 კვ) (მიმდინარეობს).</t>
  </si>
  <si>
    <t>250 მგვარ სიმძლავრის რეგულირებადი რეაქტორის მშენებლობა - ,,ქ/ს ზესტაფონი 500-ში“ (დაგეგმილი).</t>
  </si>
  <si>
    <t xml:space="preserve">  - 500კვ ორჯაჭვა ეგხ-ის „წყალტუბო-ახალციხე“ მშენებლობას (დაახლოებით 160კმ) ;
 - 500კვ ქვესადგურის - „ახალციხე“ გაფართოება;
 - 400კვ ეგხ-ის „ახალციხე-თორთუმი“ მშენებლობა თურქეთის საზღვრამდე დაახლ. 30 კმ);
(დაგეგმილი).</t>
  </si>
  <si>
    <t>ახალციხიდან ბათუმამდე (142 კმ სიგრძის) მაღალი ძაბვის (220კვ) ელექტროგადამცემი ხაზის მშენებლობა (მიმდინარეობს).</t>
  </si>
  <si>
    <t>ირიგაციისა და დრენაჟის სისტემების რეაბილიტაცია და მოდერნიზაცია: ქვემო სამგორის საირიგაციო არხი (2200 ჰექტარი), ტბისი-კუმისის საირიგაციო არხი (2200 ჰექტარი) და ზედა რუს საირიგაციო არხი (1319 ჰექტარი) (მიმდინარეობს).</t>
  </si>
  <si>
    <t>რამდენიმე საპილოტე ადგილში (მათ შორის შუახევი, ვანი, მარტვილი, მესტია, დედოფლისწყარო, გურჯაანი, გორი, მცხეთა, თიანეთი, თეთრიწყარო) მიწის რეგისტრაციასთან დაკავშირებული ღონისძიებები (მიმდინარეობს).</t>
  </si>
  <si>
    <t>ზემო სამგორის ირიგაციისა და დრენაჟის სისტემის რეაბილიტაცია. პროექტის მოსამზადებელი ეტაპი (პროექტის მომზადებისთვის საჭირო კვლევებისა და ტექნიკური, სოციალური, გარემოსდაცვითი და ინსტიტუციონალური ასპექტების ანალიზი მომზადდა. მიმდინარეობს პროექტის განვითარების ფაზის დახურვის პროცედურები).</t>
  </si>
  <si>
    <t xml:space="preserve"> - ბორჯომ-ხარაგაულის ეროვნული პარკის მხარდაჭერა;
 - ლაგოდეხის დაცული ტერიტორიის მხარდაჭერა;
 - ვაშლოვანის დაცული ტერიტორიის მხარდაჭერა;
 - თუშეთის დაცული ტერიტორიის მხარდაჭერა.
(მომზადდა ბორჯომ-ხარაგაულის სახვლარის საძოვრების შეფასება, დასრულდა ბორჯომ-ხარაგაულის და ჯავახეთის ტურისტული სტრატეგიების მომზადება; მომზადდა ბორჯომის ადმინისტრაციაში მცირე სავაჭრო/სუვენირების დახლის პროექტი; მომზადდა სტატია ჯავახეთზე და ლაგოდეხზე ჟურნალისთვის "The Georgian", რომელიც გერმანიის ტურისტულ გამოფენაზე გავრცელდა).</t>
  </si>
  <si>
    <t xml:space="preserve">  - ყაზბეგის ეროვნული პარკის შექმნა;
 - კინტრიშის დაცული ტერიტორის შექმნა;
 - ალგეთის ეროვნული პარკის შექმნა;
 - ფშავ-ხევსურეთის დაცული ტერიტორიის შექმნა.
(მიმდინარეობს ტურიზმის სტრატეგიების, სამოქმედო და საინვესტიციო გეგმების შემუშავება; დაიწყო მენეჯმენტის გეგმის შემუშავება ალგეთის ეროვნული პარკისათვის; გამოცხადდა ტენდერი ფშავ-ხევსურეთის დაცული ტერიტორიების დემარკაციაზე; დაიწყო ალგეთის ეროვნული პარკის ადმინისტრაციის და ვიზიტორთა შენობის მშენებლობა; დაიწყო ყაზბეგის ეროვნული პარკის ადმინისტრაციის და ვიზიტორთა შენობის მშენებლობა; მიმდინარეობს პრომეთეს მღვიმის საგამოფენო დარბაზის მოწყობა; მიმდინარეობს დუშეთის მუნიციპალიტეტში დაცული ლანდშაფტის შექმნისათვის კანონპროექტის შემუშავება)</t>
  </si>
  <si>
    <t xml:space="preserve">ავტობუსების (დიზელის და ელექტრო) შეძენა. დიზელის 40 ერთეული 
ავტობუსი შემოსულია საქართველოში; ელექტრო ავტობუსების შეძენა (დაგეგმილი). </t>
  </si>
  <si>
    <t xml:space="preserve">  - საქართველოს სხვადასხვა ქალაქსა და სოფელში ინოვაციური ჰაბებისა და ცენტრების ქსელის განვითარება (მიმდინარეობს აღნიშნული კომპონენტის რესტრუქტურირებისთვის საჭირო პროცედურები);
 - საქართველოს რეგიონებში მცირე და საშუალო ზომის საწარმოების/საოჯახო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 (მიმდინარეობს აღნიშნული კომპონენტის რესტრუქტურირებისთვის საჭირო  პროცედურები)
 - ინდივიდუალური პირებისა და ფირმების ინოვაციური შესაძლებლობების განვითარება (მიმდინარეობს აღნიშნული კომპონენტის რესტრუქტურირებისთვის საჭირო პროცედურები).</t>
  </si>
  <si>
    <t>30.09.2021</t>
  </si>
  <si>
    <t>დაგეგმილი</t>
  </si>
  <si>
    <r>
      <t xml:space="preserve"> - მყარი ნარჩენების შეგროვების სადგურის განახლება (ახალი ნაგავმზიდი და მექანიკური დამგველი მანქანის შეძენა);
 - არსებული მყარი ნარჩენების გადატვირთვის სადგურის განახლება;
  -თბილისის მყარი ნარჩენების ნაგავსაყრელზე ნაჟური წყლის</t>
    </r>
    <r>
      <rPr>
        <sz val="12"/>
        <color theme="1"/>
        <rFont val="Franklin Gothic Book"/>
        <family val="2"/>
        <scheme val="minor"/>
      </rPr>
      <t xml:space="preserve">  (</t>
    </r>
    <r>
      <rPr>
        <sz val="1"/>
        <color theme="1"/>
        <rFont val="Franklin Gothic Book"/>
        <family val="2"/>
        <scheme val="minor"/>
      </rPr>
      <t>(</t>
    </r>
    <r>
      <rPr>
        <sz val="12"/>
        <color theme="1"/>
        <rFont val="Franklin Gothic Book"/>
        <family val="2"/>
        <scheme val="minor"/>
      </rPr>
      <t>ლიჩეტის)</t>
    </r>
    <r>
      <rPr>
        <sz val="1"/>
        <color theme="1"/>
        <rFont val="Franklin Gothic Book"/>
        <family val="2"/>
        <scheme val="minor"/>
      </rPr>
      <t>)</t>
    </r>
    <r>
      <rPr>
        <sz val="12"/>
        <rFont val="Franklin Gothic Book"/>
        <family val="2"/>
        <scheme val="minor"/>
      </rPr>
      <t xml:space="preserve">  სისტემის რეაბილიტაცია და გაუმჯობესება.</t>
    </r>
  </si>
  <si>
    <t>თბილისი-სენაკი-ლესელიძის საავტომობილო გზის უბისა-შორაპანის მონაკვეთის რეკონსტრუქცია-მშენებლობა  (მიმდინარეობს მოსამზადებელი სამუშაოები).</t>
  </si>
  <si>
    <t>ჭიათურის საბაგირო გზების რეკონსტრუქცია-რეაბილიტაციის პროექტი (საფრანგეთი)</t>
  </si>
  <si>
    <t>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განახლება: 
 - საბაგირო N1 ცენტრი - სანატორიუმი (მიმდინარეობს სამშენებლო სამუშაოები);
 - საბაგირო N2 ცენტრი - ლეჟუბანი (მიმდინარეობს სამშენებლო სამუშაოები);
 - საბაგირო N3 ცენტრი - ნაგუთი (მიმდინარეობს სამშენებლო სამუშაოები);
 - საბაგირო N4 ცენტრი - მუხაძე (მიმდინარეობს სამშენებლო სამუშაოები)</t>
  </si>
  <si>
    <t xml:space="preserve"> გრიგოლეთი-ქობულეთის შემოვლითი გზის მონაკვეთის მშენებლობა (დაიწყო მოსამზადებელი და სამობილიზაციო სამუშაოები).</t>
  </si>
  <si>
    <t xml:space="preserve">საქართველოს სხვადასხვა რეგიონში (დაახლოებით 200 კმ საერთო სიგრძის) შიდასახელმწიფოებრივი და ადგილობრივი გზების რეაბილიტაცია  (პროექტის ფარგლებში მიმდინარეობს დამატებით 12 გზის (მთლიანობაში დაახლოებით 80 კმ) რეაბილიტაცია).   </t>
  </si>
  <si>
    <r>
      <rPr>
        <sz val="12"/>
        <rFont val="Franklin Gothic Book"/>
        <family val="2"/>
        <scheme val="minor"/>
      </rPr>
  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 (მიმდინარეობს სატენდერო პროცედურები მშენებელ-კონტრაქტორთა შესარჩევად)</t>
    </r>
    <r>
      <rPr>
        <sz val="12"/>
        <color rgb="FFFF0000"/>
        <rFont val="Franklin Gothic Book"/>
        <family val="2"/>
        <scheme val="minor"/>
      </rPr>
      <t>.</t>
    </r>
  </si>
  <si>
    <t>საქართველოსა და სომხეთის რესპუბლიკის სახელმწიფო საზღვრის სადახლო - ბაგრატაშენის სასაზღვრო გამტარ პუნქტებზე ახალი ხიდის მშენებლობა  (მიმდინარეობს საპროექტო სამუშაოები).</t>
  </si>
  <si>
    <t>2019 წლის 30  აპრილის  მდგომარეობით (ათას ერთეულში)</t>
  </si>
  <si>
    <t>28.02.2020</t>
  </si>
  <si>
    <t xml:space="preserve"> - ზემო ოსიაური - ჩუმათელეთის მონაკვეთზე (დაახლოებით 14.1 კმ) ავტომაგისტრალის მშენებლობა (ლოტი I და ლოტი II) (I ლოტზე მიმდინარეობს სამშენებლო სამუშაოები; II  ლოტზე ხელშეკრულება შეწყდა, მიმდინარეობს საკითხის განხილვა დონორთან სამუშაოების გაგრძელების თაობაზე);
 - საავტომობილო გზების დეპარტამენტის ინსტიტუციონალური განვითარება (დაგეგმილი);
 -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ტექნიკურ-ეკონომიკური კვლევის მომზადებასთან დაკავშირებით (დასრულდა);
 - საგზაო ქსელის განვითარების მიზნით მომავალი საინვესტიციო პროექტების დეტალური პროექტებისა და ტექნიკურ-ეკონომიკური დასაბუთების მომზადება (დაგეგმილი).</t>
  </si>
  <si>
    <t xml:space="preserve">  - სამტრედია - გრიგოლეთის მონაკვეთზე (დაახლოებით 52 კმ) ახალი ოთხზოლიანი ავტომაგისტრალის მშენებლობა (სამშენებლო სამუშაოები მიმდინარეობს I, II და IV ლოტის ფარგლებში; ლოტი III -  ხელშეკრულება შეწყდა, მიმდინარეობს მოლაპარაკება დონორთან ტენდერის ხელახლა გამოცხადების თაობაზე);
 - ფოთი-გრიგოლეთის მონაკვეთი (დეტალური პროექტის მომზადების სამუშაოები დასრულდა).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</si>
  <si>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 (მიმდინარეობს მოსამზადებელი და სამობილიზაციო სამუშაოები).</t>
  </si>
  <si>
    <t xml:space="preserve"> თბილისი-სენაკი-ლესელიძის საავტომობილო გზის შორაპანი-არგვეთას მონაკვეთის რეკონსტრუქცია-მშენებლობა.(ტენდერი დასრულდა უარყოფითი შედეგით. JICA-სთან გაფორმებული სასესხო ხელშეკრულება გაუქმდა. მიმდინარეობს საკითხის განხილვა დონორებთან პროექტის დაფინანსების მიზნით).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</si>
  <si>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  (დაგეგმილი).  (გამოცხადდა რუსთავი-ალგეთი (ლოტი 1) და ალგეთი-წითელი ხიდის (ლოტი 2) მონაკვეთების სამშენებლო სამუშაოებზე ზედამხედველობის ტენდერი).</t>
  </si>
  <si>
    <t xml:space="preserve">  - ძირულა-ხარაგაული-მოლითი-ფონა-ჩუმათელეთის დამაკავშირებელი შიდასახელმწიფოებრივი გზის რეაბილიტაცია  (ძირულა -მოლითის გზის რეაბილიტაცია - მიმდინარეობს სამშენებლო სამუშაოები; მოლითი-ჩუმათელეთის გზის მონაკვეთის რეაბილიტაცია -დაიწყო მოსამზადებელი და სამობილიზაციო სამუშაოები).</t>
  </si>
  <si>
    <t>ბათუმი - ახალციხის არსებული ორზოლიანი გზის დაახლოებით 29 კმ-იან ხულო-გოდერძის მონაკვეთის რეაბილიტაცია - რეკონსტრუქცია  (დაიწყო მოსამზადებელი და სამობილიზაციო სამუშაოები).</t>
  </si>
  <si>
    <t>საჯარო შენობებში  ენერგოეფექტურობის  ღონისძიებების განხორციელება (ადმინისტრაციულ და საგანმანათლებლო შენობებში განახლებადი და ალტერნატიული ენერგიის წყაროების დანერგვა)  (მიმდინარეობს მოსამზადებელი სამუშაოები).</t>
  </si>
  <si>
    <t xml:space="preserve">ზუგდიდში (არსებული ნაგავსაყრელის ბაზაზე) და გურჯანში (სოფელ მელაანში) რეგიონული მუნიციპალური ნაგავსაყრელის მოწყობა  რომელიც მოემსახურება  სამეგრელო-ზემო სვანეთის და კახეთის რეგიონებს (მიმდინარეობს მოსამზადებელი სამუშაოები). </t>
  </si>
  <si>
    <r>
      <t xml:space="preserve">
 </t>
    </r>
    <r>
      <rPr>
        <sz val="11"/>
        <rFont val="Franklin Gothic Book"/>
        <family val="2"/>
        <scheme val="minor"/>
      </rPr>
      <t xml:space="preserve">- მესტიაში წყალმომარაგების სათავე ნაგებობის მშენებლობა (დასრულდა); 
- მესტიის წყალმომარაგებისა და კანალიზაციის ქსელების მშენებლობა - რეაბილიტაცია (დასრულდა); 
- მესტიის წყლის გამწმენდი ნაგებობის, ახალი რეზერვუარების მშენებლობა და არსებული რეზერვუარის რეაბილიტაცია (მიმდინარეობს მშენებლობა); 
- მესტიის წყალარინების გამწმენდი ნაგებობის პროექტირება-მშენებლობა (ჩატარდა  ტენდერი)
 - ანაკლიაში წყალმომარაგების სათავე ნაგებობის მშენებლობა, წყალმომარაგებისა და კანალიზაციის ქსელების მშენებლობა- რეაბილიტაცია (დასრულდა); 
- ანაკლიის კანალიზაციის გამწმენდი ნაგებობის მშენებლობა (მიმდინარეობს შენახვის პროცედურები);
- ქუთაისში წყალმომარაგების სისტემების ( რეზერვუარები, სატუმბი სადგურები, წყლის გამანაწილებელი ქსელი) მშენებლობა- რეაბილიტაცია (მიმდინარეობს სამშენებლო სამუშაოები);
- ფოთში წყალმომარაგების სისტემების მშენებლობა - რეაბილიტაცია (დასრულებულია); 
- ფოთში წყალარინების სისტემის რეაბილიტაცია (მიმდინარეობს სამშენებლო სამუშაოები); 
- ფოთში წყალარინების გამწმენდი ნაგებობის მშენებლობა (მიმდინარეობს სამშენებლო სამუშაოები);
- ურეკში წყალმომარაგებისა და კანალიზაციის სისტემების მშენებლობა (მიმდინარეობს სამშენებლო სამუშაოები);
- ურეკში კანალიზაციის გამწმენდი ნაგებობის მშენებლობა (მიმდინარეობს შენახვის პროცედურები);
- ზუგდიდში წყალმომარაგების სისტემის მშენებლობა-რეაბილიტაცია (მიმდინარეობს სამშენებლო სამუშაოები);
- ზუგდიდში კანალიზაციის სისტემის მშენებლობა-რეაბილიტაცია (მიმდინარეობს სამშენებლო სამუშაოები);
- ზუგდიდში კანალიზაციის გამწმენდი ნაგებობის მშენებლობა (მიმდინარეობს სამშენებლო სამუშაოები);
- ჯვარის წყალმომარაგების სისტემის მშენებლობა (მიმდინარეობს სამშენებლო სამუშაოები);
- ჭიათურაში წყალმომარაგების სისტემის მშენებლობა (მიმდინარეობს სამშენებლო სამუშაოები);
- მარნეულში წყლისა და წყალარინების სისტემების მშენებლობა, ბოლნისის წყალარინების სისტემისა და კოლექტორის მშენებლობა  (მიმდინარეობს სამობილიზაციო სამუშაოები)
- მარნეულის წყალარინების გამწმენდი ნაგებობის პროექტირება-მშენებლობა (მიმდინარეობს სამშენებლო სამუშაოები);
- აბაშის მაგისტრალური ხაზის მშენებლობა (მიმდინარეობს სამშენებლო სამუშაოები)
- თელავის წყალმომარაგების სისტემის მშენებლობა (მიმდინარეობს შეფასების პროცედურები)
- გუდაურის წყლისა და წყალარინების სისტემების მშენებლობა (მიმდინარეობს სამობილიზაციო სამუშაოები) 
- გუდაურის წყალარინების გამწმენდი ნაგებობების მშენებლობა (მიმდინარეობს სატენდერო პროცედურები)
</t>
    </r>
  </si>
  <si>
    <r>
      <rPr>
        <b/>
        <sz val="12"/>
        <rFont val="Franklin Gothic Book"/>
        <family val="2"/>
        <scheme val="minor"/>
      </rPr>
      <t>საქართველოს სხვადასხვა რეგიონში მცირემიწიან ფერმერთა შემოსავლების ზრდის მხარდაჭერა და სოფლის მეურნეობის პროდუქციის წარმოება/გადამუშავება/რეალიზაციის კუთხით ინვესტიციების ხელშეწყობ</t>
    </r>
    <r>
      <rPr>
        <sz val="12"/>
        <rFont val="Franklin Gothic Book"/>
        <family val="2"/>
        <scheme val="minor"/>
      </rPr>
      <t xml:space="preserve">ა
 - მოეწყო 16 სადემონსტრაციო ნაკვეთი (ხეხილის,  ბოსტნეულის, კენკროვანი კულტურის, დაფნის,  კონსერვაციული სოფლის მეურნეობის ქარსაცავის და თაფლის) კახეთის, შიდა ქართლის,  სამეგრელოს, ყაზბეგის, რაჭის  რეგიონებში და  აჭარაში .  ჩატარდა 55 ტრეინინგი (თეორიული და პრაქტიკული) 2803 მონაწილესთვის. 
- გაცემულია 419  მცირე და დიდი გრანტი. (410  პირველადი წარმოებისათვის და 9 გადამამუშავებელი საწარმოსთვის); 
- მიმდინარეობს გორის მუნიციპალიტეტში ტირიფონის სარწყავი სისტემის გამანაწილებელის არხის რეაბილიტაციისთვის დეტალური პროექტის მომზადება;
- დასრულდა ძევერა-შერთულის საირიგაციო სისტემის მაგისტრალური არხის და შიდა ქსელების რეაბილიცია; 
- მიმდინარეობს სამშენებლო სამუშაოები სარწყავი სისტემის გამანაწილებლების და  ქსელის რეაბილიტაციისთვის (ქვემო ალაზანი, სალთვისი);
- მიმდინარეობს სამშენებლო სამუშაოები ქვემო ალაზნის, სარწყავი სისტემის გამანაწილებელი არხის რეაბილიტაცია/მოდერნიზაციისათვის.
-  დასრულდა  გორის მუნიციპალიტეტის სოფელ ქინწისში და საქაშეთში  სოფლის მცირე ინფრასტრუქტურის (გზები და ხიდები) რეაბილიტაცია, ხობის და ქარელის მუნიციპალიტეტებში მიმდინარეობს სამშენებლო სამუშაოები; 
- დასრულდა ლაგოდეხის მუნიციპალიტეტის, სოფელ გიორგეთში,  შიდასასოფლო გზის რეაბილიტაცია;
-დასრულდა შიდა ქართლში, გორის მუნიციპალიტეტში, მდინარე ჭარებულას ლანდშაფტის აღდგენის გეგმაზე მუშაობა;
- მომზადებულია შიდა ქართლში, გორის მუნიციპალიტეტში, სოფელ საქაშეთში ლანდშაფტის აღდგენის, კერძოდ  ლანდშაფტის აღდგენის გეგმა. </t>
    </r>
  </si>
  <si>
    <r>
      <rPr>
        <b/>
        <sz val="10"/>
        <rFont val="Franklin Gothic Book"/>
        <family val="2"/>
        <scheme val="minor"/>
      </rPr>
      <t xml:space="preserve">
</t>
    </r>
    <r>
      <rPr>
        <b/>
        <sz val="11"/>
        <rFont val="Franklin Gothic Book"/>
        <family val="2"/>
        <scheme val="minor"/>
      </rPr>
      <t>საქართველოს რეგიონებში საჯარო სკოლების რემონტი/რეაბილიტაცია</t>
    </r>
    <r>
      <rPr>
        <sz val="11"/>
        <rFont val="Franklin Gothic Book"/>
        <family val="2"/>
        <scheme val="minor"/>
      </rPr>
      <t xml:space="preserve">
- 86  საჯარო სკოლის სრული რეაბილიტაცია და 80  საჯარო სკოლის საბუნებისმეტყველო ლაბორატორიებით აღჭურვა შიდა და ქვემო ქართლის, სამცხე-ჯავახეთის, რაჭა-ლეჩხუმისა და ქვემო სვანეთის, კახეთის, იმერეთის, გურიის რეგიონებში და აჭარის ა/რ. (დასრულდა);
- მიმდინარეობს 5 საჯარო სკოლის სრული რეაბილიტაცია. აქედან, 4  სკოლა მდებარეობს დასავლეთ საქართველოში, ხოლო 1 - კახეთში.</t>
    </r>
    <r>
      <rPr>
        <b/>
        <sz val="11"/>
        <rFont val="Franklin Gothic Book"/>
        <family val="2"/>
        <scheme val="minor"/>
      </rPr>
      <t xml:space="preserve">
მასწავლებელთა კვალიფიკაციის ამაღლება</t>
    </r>
    <r>
      <rPr>
        <sz val="11"/>
        <rFont val="Franklin Gothic Book"/>
        <family val="2"/>
        <scheme val="minor"/>
      </rPr>
      <t xml:space="preserve">
- ზოგადპროფესიული კურსის ფარგლებში მონაწილეობა მიიღო ჯამში 17 656  მასწავლებელმა, მათ შორის, 1 861 არაქართულენოვანი სკოლებიდან. ზოგადპროფესიული კურსის სამივე მოდულს 13 745 (მათ შორის, 1 104 არაქართულენოვანი) მასწავლებელი დაესწრო.
- საგნობრივი მეთოდიკის კურსის (ფიზიკა, მათემატიკა, ბიოლოგია, ქიმია, ინგლისური და ინფორმაციული ტექნოლოგიები) ფარგლებში ტრენინგს 14 165 (მათ შორის, 1 229 არაქართულენოვანი) მასწავლებელი დაესწრო.</t>
    </r>
    <r>
      <rPr>
        <b/>
        <sz val="11"/>
        <rFont val="Franklin Gothic Book"/>
        <family val="2"/>
        <scheme val="minor"/>
      </rPr>
      <t xml:space="preserve">
სკოლის დირექტორთა კვალიფიკაციის ამაღლება</t>
    </r>
    <r>
      <rPr>
        <sz val="11"/>
        <rFont val="Franklin Gothic Book"/>
        <family val="2"/>
        <scheme val="minor"/>
      </rPr>
      <t xml:space="preserve">
-  ლიდერობის აკადემია 1-ის ფარგლებში მონაწილეობა მიიღო 1 880 (მათ შორის, 167 არაქართულენოვანმა) დირექტორმა.
-  ლიდერობის აკადემია 2-ის ფარგლებში მონაწილეობა მიიღო ჯამში 2 048 დირექტორმა, მათ შორის, 182 არაქართულენოვანი სკოლებიდან. კურსის ექვსივე მოდულს სრულად დაესწრო 1 677 (მათ შორის, 135 არაქართულენოვანი) დირექტორი და 2 101 (მათ შორის, 104 არაქართულენოვანი) ფასილიტატორი დაესწრო.
-  ლიდერობის აკადემია 3-ის ფარგლებში ტრენინგს 1 757 (მათ შორის, 152 არაქართულენოვანი) დირექტორი და 1 477 (მათ შორის, 122 არაქართულენოვანი) ფასილიტატორი დაესწრო.</t>
    </r>
    <r>
      <rPr>
        <b/>
        <sz val="11"/>
        <rFont val="Franklin Gothic Book"/>
        <family val="2"/>
        <scheme val="minor"/>
      </rPr>
      <t xml:space="preserve">
უმაღლესი და პროფესიული განათლება  </t>
    </r>
    <r>
      <rPr>
        <sz val="11"/>
        <rFont val="Franklin Gothic Book"/>
        <family val="2"/>
        <scheme val="minor"/>
      </rPr>
      <t xml:space="preserve">
-  პროფესიული განათლების პროექტის ფარგლებში შეიქმნა შრომის ბაზრის მოთხოვნების შესაბამისი  51  ახალი პროფესიული საგანმანათლებლო პროგრამები 10 პროფესიულ დაწესებულებაში; 
-  საქართველოს სამ პატრნიორ უნივერსიტეტში (თსუ, ისუ, სტუ) ერთიანი ეროვნული გამოცდების გავლით განხორციელდა სტუდენტების ოთხი ნაკადის მიღება სან დიეგოს სახელმწიფო უნივერსიტეტში,  77-მა პროფესორმა ამავე უნივერსიტეტში, კალიფორნიაში გაიარა  პროფესიული განვითარების/გადამზადების პროგრამა; პარტნიორ ქართულ სახელმწიფო უნივერსიტეტებში (თსუ, ისუ, სტუ) განხორციელდა 5000 კვ.მ სასწავლო სამეცნიერო ფართის რეაბილიტაცია და ლაბორატორიული აღჭურვა.  
</t>
    </r>
    <r>
      <rPr>
        <b/>
        <sz val="12"/>
        <rFont val="Franklin Gothic Book"/>
        <family val="2"/>
        <scheme val="minor"/>
      </rPr>
      <t xml:space="preserve">
</t>
    </r>
    <r>
      <rPr>
        <sz val="12"/>
        <rFont val="Franklin Gothic Book"/>
        <family val="2"/>
        <scheme val="minor"/>
      </rPr>
      <t xml:space="preserve">
</t>
    </r>
  </si>
  <si>
    <t xml:space="preserve">თბილისის დაახლოებით 25 საჯარო სკოლის რეკონსტრუქცია-გამაგრება და აღნიშნულ სკოლებში ენერგო ეფექტურობის გაზრდა (მიმდინარეობს მოსამზადებელი სამუშაოები).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</si>
</sst>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dd\.mm\.yyyy"/>
    <numFmt numFmtId="166" formatCode="#,##0.00000"/>
    <numFmt numFmtId="167" formatCode="#,##0.000000000000"/>
  </numFmts>
  <fonts count="25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SPLiteraturuly"/>
    </font>
    <font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sz val="14"/>
      <name val="Franklin Gothic Book"/>
      <family val="2"/>
      <scheme val="minor"/>
    </font>
    <font>
      <sz val="14"/>
      <color theme="0"/>
      <name val="Franklin Gothic Book"/>
      <family val="2"/>
      <scheme val="minor"/>
    </font>
    <font>
      <b/>
      <sz val="14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color rgb="FFFF0000"/>
      <name val="Franklin Gothic Book"/>
      <family val="2"/>
      <scheme val="minor"/>
    </font>
    <font>
      <sz val="12"/>
      <name val="Arial"/>
      <family val="2"/>
      <charset val="204"/>
    </font>
    <font>
      <b/>
      <sz val="14"/>
      <color theme="1"/>
      <name val="Franklin Gothic Book"/>
      <family val="2"/>
      <scheme val="minor"/>
    </font>
    <font>
      <b/>
      <sz val="14"/>
      <color theme="1"/>
      <name val="Calibri"/>
      <family val="2"/>
    </font>
    <font>
      <sz val="14"/>
      <color theme="1"/>
      <name val="Franklin Gothic Book"/>
      <family val="2"/>
      <scheme val="minor"/>
    </font>
    <font>
      <sz val="12"/>
      <name val="Franklin Gothic Book"/>
      <family val="1"/>
      <scheme val="minor"/>
    </font>
    <font>
      <sz val="12"/>
      <color theme="1" tint="0.1499984740745262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16"/>
      <name val="Franklin Gothic Book"/>
      <family val="2"/>
      <scheme val="minor"/>
    </font>
    <font>
      <sz val="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sz val="10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medium">
        <color indexed="64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medium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/>
      <diagonal/>
    </border>
    <border>
      <left style="dotted">
        <color theme="1" tint="4.9989318521683403E-2"/>
      </left>
      <right style="dotted">
        <color theme="1" tint="4.9989318521683403E-2"/>
      </right>
      <top/>
      <bottom style="dotted">
        <color theme="1" tint="4.9989318521683403E-2"/>
      </bottom>
      <diagonal/>
    </border>
  </borders>
  <cellStyleXfs count="1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72">
    <xf numFmtId="0" fontId="0" fillId="0" borderId="0" xfId="0"/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 readingOrder="1"/>
      <protection locked="0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vertical="center"/>
    </xf>
    <xf numFmtId="15" fontId="5" fillId="0" borderId="0" xfId="1" applyNumberFormat="1" applyFont="1" applyFill="1" applyBorder="1" applyAlignment="1">
      <alignment vertical="center" wrapText="1"/>
    </xf>
    <xf numFmtId="15" fontId="5" fillId="0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 wrapText="1"/>
    </xf>
    <xf numFmtId="0" fontId="15" fillId="3" borderId="0" xfId="1" applyNumberFormat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5" fillId="3" borderId="0" xfId="1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/>
    </xf>
    <xf numFmtId="164" fontId="15" fillId="4" borderId="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3" fontId="5" fillId="0" borderId="13" xfId="15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 wrapText="1"/>
    </xf>
    <xf numFmtId="164" fontId="13" fillId="3" borderId="4" xfId="1" applyNumberFormat="1" applyFont="1" applyFill="1" applyBorder="1" applyAlignment="1">
      <alignment horizontal="center" vertical="center"/>
    </xf>
    <xf numFmtId="164" fontId="15" fillId="3" borderId="3" xfId="1" applyNumberFormat="1" applyFont="1" applyFill="1" applyBorder="1" applyAlignment="1">
      <alignment horizontal="center" vertical="center"/>
    </xf>
    <xf numFmtId="165" fontId="5" fillId="0" borderId="22" xfId="1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 wrapText="1"/>
    </xf>
    <xf numFmtId="165" fontId="5" fillId="2" borderId="25" xfId="1" applyNumberFormat="1" applyFont="1" applyFill="1" applyBorder="1" applyAlignment="1">
      <alignment horizontal="center" vertical="center" wrapText="1"/>
    </xf>
    <xf numFmtId="164" fontId="5" fillId="0" borderId="25" xfId="1" quotePrefix="1" applyNumberFormat="1" applyFont="1" applyFill="1" applyBorder="1" applyAlignment="1">
      <alignment horizontal="center" vertical="center"/>
    </xf>
    <xf numFmtId="164" fontId="5" fillId="2" borderId="25" xfId="1" applyNumberFormat="1" applyFont="1" applyFill="1" applyBorder="1" applyAlignment="1">
      <alignment horizontal="center" vertical="center"/>
    </xf>
    <xf numFmtId="43" fontId="5" fillId="0" borderId="25" xfId="15" applyFont="1" applyFill="1" applyBorder="1" applyAlignment="1">
      <alignment horizontal="center" vertical="center"/>
    </xf>
    <xf numFmtId="165" fontId="5" fillId="0" borderId="28" xfId="1" applyNumberFormat="1" applyFont="1" applyFill="1" applyBorder="1" applyAlignment="1">
      <alignment horizontal="center" vertical="center" wrapText="1"/>
    </xf>
    <xf numFmtId="164" fontId="5" fillId="0" borderId="28" xfId="1" applyNumberFormat="1" applyFont="1" applyFill="1" applyBorder="1" applyAlignment="1">
      <alignment horizontal="center" vertical="center"/>
    </xf>
    <xf numFmtId="43" fontId="5" fillId="0" borderId="28" xfId="15" applyFont="1" applyFill="1" applyBorder="1" applyAlignment="1">
      <alignment horizontal="center" vertical="center"/>
    </xf>
    <xf numFmtId="164" fontId="5" fillId="5" borderId="28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left" vertical="center" wrapText="1"/>
    </xf>
    <xf numFmtId="164" fontId="16" fillId="0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/>
    </xf>
    <xf numFmtId="165" fontId="17" fillId="2" borderId="25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11" fillId="0" borderId="12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 wrapText="1"/>
    </xf>
    <xf numFmtId="15" fontId="6" fillId="0" borderId="0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6" fillId="0" borderId="28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left" vertical="center" wrapText="1" readingOrder="1"/>
      <protection locked="0"/>
    </xf>
    <xf numFmtId="164" fontId="5" fillId="0" borderId="0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vertical="center" wrapText="1"/>
    </xf>
    <xf numFmtId="49" fontId="6" fillId="0" borderId="38" xfId="1" applyNumberFormat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vertical="center"/>
    </xf>
    <xf numFmtId="49" fontId="6" fillId="3" borderId="11" xfId="1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left" vertical="center" wrapText="1"/>
    </xf>
    <xf numFmtId="49" fontId="6" fillId="0" borderId="16" xfId="1" applyNumberFormat="1" applyFont="1" applyFill="1" applyBorder="1" applyAlignment="1">
      <alignment horizontal="left" vertical="center" wrapText="1"/>
    </xf>
    <xf numFmtId="49" fontId="6" fillId="2" borderId="2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15" fontId="6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7" xfId="4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vertical="center"/>
    </xf>
    <xf numFmtId="4" fontId="20" fillId="0" borderId="0" xfId="1" applyNumberFormat="1" applyFont="1" applyFill="1" applyBorder="1" applyAlignment="1">
      <alignment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left" vertical="center" wrapText="1"/>
    </xf>
    <xf numFmtId="165" fontId="5" fillId="0" borderId="40" xfId="1" applyNumberFormat="1" applyFont="1" applyFill="1" applyBorder="1" applyAlignment="1">
      <alignment horizontal="center" vertical="center" wrapText="1"/>
    </xf>
    <xf numFmtId="164" fontId="5" fillId="0" borderId="40" xfId="1" applyNumberFormat="1" applyFont="1" applyFill="1" applyBorder="1" applyAlignment="1">
      <alignment horizontal="center" vertical="center"/>
    </xf>
    <xf numFmtId="164" fontId="6" fillId="0" borderId="40" xfId="1" applyNumberFormat="1" applyFont="1" applyFill="1" applyBorder="1" applyAlignment="1">
      <alignment horizontal="center" vertical="center"/>
    </xf>
    <xf numFmtId="164" fontId="5" fillId="2" borderId="40" xfId="1" applyNumberFormat="1" applyFont="1" applyFill="1" applyBorder="1" applyAlignment="1">
      <alignment horizontal="center" vertical="center"/>
    </xf>
    <xf numFmtId="164" fontId="5" fillId="0" borderId="40" xfId="1" applyNumberFormat="1" applyFont="1" applyFill="1" applyBorder="1" applyAlignment="1">
      <alignment horizontal="center" vertical="center" wrapText="1"/>
    </xf>
    <xf numFmtId="49" fontId="6" fillId="0" borderId="41" xfId="1" applyNumberFormat="1" applyFont="1" applyFill="1" applyBorder="1" applyAlignment="1">
      <alignment horizontal="left" vertical="center" wrapText="1"/>
    </xf>
    <xf numFmtId="0" fontId="6" fillId="0" borderId="36" xfId="4" applyFont="1" applyFill="1" applyBorder="1" applyAlignment="1">
      <alignment horizontal="left" vertical="center" wrapText="1"/>
    </xf>
    <xf numFmtId="43" fontId="5" fillId="0" borderId="33" xfId="15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 wrapText="1"/>
    </xf>
    <xf numFmtId="49" fontId="6" fillId="0" borderId="30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left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7" fontId="6" fillId="0" borderId="0" xfId="1" applyNumberFormat="1" applyFont="1" applyFill="1" applyBorder="1" applyAlignment="1">
      <alignment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49" fontId="5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49" fontId="11" fillId="0" borderId="30" xfId="1" applyNumberFormat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4" xfId="4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left" vertical="center" wrapText="1"/>
    </xf>
    <xf numFmtId="165" fontId="6" fillId="0" borderId="25" xfId="1" applyNumberFormat="1" applyFont="1" applyFill="1" applyBorder="1" applyAlignment="1">
      <alignment horizontal="center" vertical="center" wrapText="1"/>
    </xf>
    <xf numFmtId="165" fontId="6" fillId="2" borderId="25" xfId="1" applyNumberFormat="1" applyFont="1" applyFill="1" applyBorder="1" applyAlignment="1">
      <alignment horizontal="center" vertical="center" wrapText="1"/>
    </xf>
    <xf numFmtId="164" fontId="6" fillId="2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165" fontId="5" fillId="0" borderId="35" xfId="1" applyNumberFormat="1" applyFont="1" applyFill="1" applyBorder="1" applyAlignment="1">
      <alignment horizontal="center" vertical="center" wrapText="1"/>
    </xf>
    <xf numFmtId="164" fontId="5" fillId="0" borderId="42" xfId="1" quotePrefix="1" applyNumberFormat="1" applyFont="1" applyFill="1" applyBorder="1" applyAlignment="1">
      <alignment horizontal="center" vertical="center"/>
    </xf>
    <xf numFmtId="164" fontId="5" fillId="0" borderId="43" xfId="1" quotePrefix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4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2" borderId="16" xfId="1" applyNumberFormat="1" applyFont="1" applyFill="1" applyBorder="1" applyAlignment="1">
      <alignment horizontal="left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42" xfId="1" applyNumberFormat="1" applyFont="1" applyFill="1" applyBorder="1" applyAlignment="1">
      <alignment horizontal="center" vertical="center"/>
    </xf>
    <xf numFmtId="164" fontId="5" fillId="0" borderId="43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left" vertical="center" wrapText="1"/>
    </xf>
    <xf numFmtId="49" fontId="6" fillId="0" borderId="32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0" fontId="13" fillId="4" borderId="9" xfId="1" applyNumberFormat="1" applyFont="1" applyFill="1" applyBorder="1" applyAlignment="1">
      <alignment horizontal="center" vertical="center" wrapText="1"/>
    </xf>
    <xf numFmtId="0" fontId="13" fillId="4" borderId="6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3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textRotation="90" wrapText="1"/>
    </xf>
    <xf numFmtId="0" fontId="13" fillId="4" borderId="9" xfId="1" applyNumberFormat="1" applyFont="1" applyFill="1" applyBorder="1" applyAlignment="1">
      <alignment horizontal="center" vertical="center" textRotation="90" wrapText="1"/>
    </xf>
    <xf numFmtId="0" fontId="9" fillId="4" borderId="6" xfId="1" applyNumberFormat="1" applyFont="1" applyFill="1" applyBorder="1" applyAlignment="1">
      <alignment horizontal="center" vertical="center" wrapText="1"/>
    </xf>
    <xf numFmtId="0" fontId="9" fillId="4" borderId="9" xfId="1" applyNumberFormat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left" vertical="center" wrapText="1"/>
    </xf>
    <xf numFmtId="0" fontId="6" fillId="2" borderId="37" xfId="1" applyFont="1" applyFill="1" applyBorder="1" applyAlignment="1">
      <alignment horizontal="left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0" fontId="13" fillId="4" borderId="6" xfId="11" applyNumberFormat="1" applyFont="1" applyFill="1" applyBorder="1" applyAlignment="1">
      <alignment horizontal="center" vertical="center" wrapText="1"/>
    </xf>
    <xf numFmtId="0" fontId="13" fillId="4" borderId="9" xfId="11" applyNumberFormat="1" applyFont="1" applyFill="1" applyBorder="1" applyAlignment="1">
      <alignment horizontal="center" vertical="center" wrapText="1"/>
    </xf>
    <xf numFmtId="49" fontId="9" fillId="4" borderId="7" xfId="11" applyNumberFormat="1" applyFont="1" applyFill="1" applyBorder="1" applyAlignment="1">
      <alignment horizontal="center" vertical="center" wrapText="1"/>
    </xf>
    <xf numFmtId="49" fontId="9" fillId="4" borderId="10" xfId="11" applyNumberFormat="1" applyFont="1" applyFill="1" applyBorder="1" applyAlignment="1">
      <alignment horizontal="center" vertical="center" wrapText="1"/>
    </xf>
  </cellXfs>
  <cellStyles count="16">
    <cellStyle name="Comma" xfId="15" builtinId="3"/>
    <cellStyle name="Comma 2" xfId="5"/>
    <cellStyle name="Comma 2 2" xfId="2"/>
    <cellStyle name="Comma 2 2 2" xfId="12"/>
    <cellStyle name="Comma 2 3" xfId="6"/>
    <cellStyle name="Comma 3" xfId="7"/>
    <cellStyle name="Normal" xfId="0" builtinId="0"/>
    <cellStyle name="Normal 2" xfId="8"/>
    <cellStyle name="Normal 2 2" xfId="4"/>
    <cellStyle name="Normal 2 3" xfId="14"/>
    <cellStyle name="Normal 3" xfId="9"/>
    <cellStyle name="Normal 4" xfId="10"/>
    <cellStyle name="Normal 5" xfId="1"/>
    <cellStyle name="Percent" xfId="11" builtinId="5"/>
    <cellStyle name="Percent 2" xfId="3"/>
    <cellStyle name="Percent 2 2" xfId="13"/>
  </cellStyles>
  <dxfs count="0"/>
  <tableStyles count="0" defaultTableStyle="TableStyleMedium9" defaultPivotStyle="PivotStyleLight16"/>
  <colors>
    <mruColors>
      <color rgb="FF2C69B2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02"/>
  <sheetViews>
    <sheetView tabSelected="1" view="pageBreakPreview" topLeftCell="A88" zoomScale="55" zoomScaleNormal="60" zoomScaleSheetLayoutView="55" zoomScalePageLayoutView="20" workbookViewId="0">
      <selection activeCell="D87" sqref="D87"/>
    </sheetView>
  </sheetViews>
  <sheetFormatPr defaultColWidth="9.33203125" defaultRowHeight="16.5"/>
  <cols>
    <col min="1" max="1" width="52.88671875" style="14" customWidth="1"/>
    <col min="2" max="2" width="13.6640625" style="6" customWidth="1"/>
    <col min="3" max="3" width="13.6640625" style="3" customWidth="1"/>
    <col min="4" max="6" width="15.44140625" style="1" customWidth="1"/>
    <col min="7" max="7" width="22.88671875" style="5" customWidth="1"/>
    <col min="8" max="8" width="13.44140625" style="1" customWidth="1"/>
    <col min="9" max="9" width="16.21875" style="1" customWidth="1"/>
    <col min="10" max="10" width="13.77734375" style="1" customWidth="1"/>
    <col min="11" max="11" width="16.21875" style="5" customWidth="1"/>
    <col min="12" max="12" width="15.33203125" style="1" customWidth="1"/>
    <col min="13" max="13" width="28.77734375" style="5" hidden="1" customWidth="1"/>
    <col min="14" max="14" width="104.5546875" style="17" customWidth="1"/>
    <col min="15" max="15" width="9.33203125" style="1"/>
    <col min="16" max="16" width="19" style="1" customWidth="1"/>
    <col min="17" max="16384" width="9.33203125" style="1"/>
  </cols>
  <sheetData>
    <row r="1" spans="1:14" ht="6.75" customHeight="1">
      <c r="B1" s="16"/>
      <c r="C1" s="16"/>
      <c r="D1" s="14"/>
      <c r="E1" s="14"/>
      <c r="F1" s="14"/>
      <c r="H1" s="14"/>
      <c r="I1" s="14"/>
      <c r="J1" s="14"/>
      <c r="L1" s="14"/>
      <c r="M1" s="14"/>
    </row>
    <row r="2" spans="1:14" s="7" customFormat="1" ht="27" customHeight="1">
      <c r="A2" s="127" t="s">
        <v>43</v>
      </c>
      <c r="B2" s="22"/>
      <c r="C2" s="22"/>
      <c r="D2" s="21"/>
      <c r="E2" s="21"/>
      <c r="F2" s="21"/>
      <c r="G2" s="21"/>
      <c r="H2" s="9"/>
      <c r="I2" s="21"/>
      <c r="J2" s="21"/>
      <c r="K2" s="23"/>
      <c r="L2" s="21"/>
      <c r="M2" s="21"/>
      <c r="N2" s="118"/>
    </row>
    <row r="3" spans="1:14" ht="27" customHeight="1" thickBot="1">
      <c r="A3" s="128" t="s">
        <v>171</v>
      </c>
      <c r="B3" s="24"/>
      <c r="C3" s="24"/>
      <c r="D3" s="25"/>
      <c r="E3" s="25"/>
      <c r="F3" s="25"/>
      <c r="G3" s="25"/>
      <c r="H3" s="94"/>
      <c r="I3" s="25"/>
      <c r="J3" s="25"/>
      <c r="K3" s="25"/>
      <c r="L3" s="25"/>
      <c r="M3" s="25"/>
    </row>
    <row r="4" spans="1:14" s="7" customFormat="1" ht="75.75" customHeight="1">
      <c r="A4" s="259" t="s">
        <v>10</v>
      </c>
      <c r="B4" s="261" t="s">
        <v>92</v>
      </c>
      <c r="C4" s="261" t="s">
        <v>48</v>
      </c>
      <c r="D4" s="249" t="s">
        <v>38</v>
      </c>
      <c r="E4" s="249"/>
      <c r="F4" s="249"/>
      <c r="G4" s="263" t="s">
        <v>115</v>
      </c>
      <c r="H4" s="263"/>
      <c r="I4" s="249" t="s">
        <v>116</v>
      </c>
      <c r="J4" s="249"/>
      <c r="K4" s="249" t="s">
        <v>50</v>
      </c>
      <c r="L4" s="249"/>
      <c r="M4" s="268" t="s">
        <v>0</v>
      </c>
      <c r="N4" s="270" t="s">
        <v>37</v>
      </c>
    </row>
    <row r="5" spans="1:14" s="7" customFormat="1" ht="54" customHeight="1" thickBot="1">
      <c r="A5" s="260"/>
      <c r="B5" s="262"/>
      <c r="C5" s="262"/>
      <c r="D5" s="248" t="s">
        <v>34</v>
      </c>
      <c r="E5" s="248"/>
      <c r="F5" s="248"/>
      <c r="G5" s="264" t="s">
        <v>45</v>
      </c>
      <c r="H5" s="264"/>
      <c r="I5" s="248" t="s">
        <v>45</v>
      </c>
      <c r="J5" s="248"/>
      <c r="K5" s="248" t="s">
        <v>45</v>
      </c>
      <c r="L5" s="248"/>
      <c r="M5" s="269"/>
      <c r="N5" s="271"/>
    </row>
    <row r="6" spans="1:14" ht="30.75" customHeight="1" thickBot="1">
      <c r="A6" s="129"/>
      <c r="B6" s="26"/>
      <c r="C6" s="26"/>
      <c r="D6" s="27" t="s">
        <v>26</v>
      </c>
      <c r="E6" s="27" t="s">
        <v>20</v>
      </c>
      <c r="F6" s="27" t="s">
        <v>21</v>
      </c>
      <c r="G6" s="27" t="s">
        <v>20</v>
      </c>
      <c r="H6" s="95" t="s">
        <v>21</v>
      </c>
      <c r="I6" s="27" t="s">
        <v>20</v>
      </c>
      <c r="J6" s="28" t="s">
        <v>21</v>
      </c>
      <c r="K6" s="27" t="s">
        <v>20</v>
      </c>
      <c r="L6" s="27" t="s">
        <v>21</v>
      </c>
      <c r="M6" s="29"/>
      <c r="N6" s="119"/>
    </row>
    <row r="7" spans="1:14" s="8" customFormat="1" ht="36.75" customHeight="1" thickBot="1">
      <c r="A7" s="256" t="s">
        <v>13</v>
      </c>
      <c r="B7" s="257"/>
      <c r="C7" s="257"/>
      <c r="D7" s="257"/>
      <c r="E7" s="257"/>
      <c r="F7" s="258"/>
      <c r="G7" s="30">
        <f>SUM(G8:G35)</f>
        <v>680550</v>
      </c>
      <c r="H7" s="96">
        <f t="shared" ref="H7:L7" si="0">SUM(H8:H35)</f>
        <v>8050</v>
      </c>
      <c r="I7" s="30">
        <f t="shared" si="0"/>
        <v>51248.519029999981</v>
      </c>
      <c r="J7" s="30">
        <f t="shared" si="0"/>
        <v>928.64247</v>
      </c>
      <c r="K7" s="30">
        <f>SUM(K8:K35)</f>
        <v>2053747.4292199998</v>
      </c>
      <c r="L7" s="30">
        <f t="shared" si="0"/>
        <v>31924.49181</v>
      </c>
      <c r="M7" s="31"/>
      <c r="N7" s="120"/>
    </row>
    <row r="8" spans="1:14" ht="78" customHeight="1">
      <c r="A8" s="244" t="s">
        <v>35</v>
      </c>
      <c r="B8" s="267">
        <v>41431</v>
      </c>
      <c r="C8" s="245">
        <v>43524</v>
      </c>
      <c r="D8" s="69" t="s">
        <v>24</v>
      </c>
      <c r="E8" s="69">
        <v>24500</v>
      </c>
      <c r="F8" s="224"/>
      <c r="G8" s="224">
        <v>4000</v>
      </c>
      <c r="H8" s="230"/>
      <c r="I8" s="224">
        <v>5070.7583000000004</v>
      </c>
      <c r="J8" s="247"/>
      <c r="K8" s="224">
        <f>148859.28356+I8</f>
        <v>153930.04186</v>
      </c>
      <c r="L8" s="224"/>
      <c r="M8" s="243" t="s">
        <v>42</v>
      </c>
      <c r="N8" s="241" t="s">
        <v>123</v>
      </c>
    </row>
    <row r="9" spans="1:14" ht="99" customHeight="1">
      <c r="A9" s="239"/>
      <c r="B9" s="212"/>
      <c r="C9" s="246"/>
      <c r="D9" s="68" t="s">
        <v>25</v>
      </c>
      <c r="E9" s="68">
        <v>38000</v>
      </c>
      <c r="F9" s="214"/>
      <c r="G9" s="214"/>
      <c r="H9" s="231"/>
      <c r="I9" s="214"/>
      <c r="J9" s="213"/>
      <c r="K9" s="214"/>
      <c r="L9" s="214"/>
      <c r="M9" s="242"/>
      <c r="N9" s="217"/>
    </row>
    <row r="10" spans="1:14" s="10" customFormat="1" ht="69" customHeight="1">
      <c r="A10" s="239" t="s">
        <v>66</v>
      </c>
      <c r="B10" s="212">
        <v>42410</v>
      </c>
      <c r="C10" s="212">
        <v>44196</v>
      </c>
      <c r="D10" s="68" t="s">
        <v>25</v>
      </c>
      <c r="E10" s="68">
        <v>140000</v>
      </c>
      <c r="F10" s="68"/>
      <c r="G10" s="214">
        <v>55225</v>
      </c>
      <c r="H10" s="231"/>
      <c r="I10" s="214">
        <v>7565.1304099999998</v>
      </c>
      <c r="J10" s="213"/>
      <c r="K10" s="214">
        <f>102576.23686+I10</f>
        <v>110141.36727</v>
      </c>
      <c r="L10" s="214"/>
      <c r="M10" s="70"/>
      <c r="N10" s="216" t="s">
        <v>173</v>
      </c>
    </row>
    <row r="11" spans="1:14" s="10" customFormat="1" ht="125.25" customHeight="1">
      <c r="A11" s="239"/>
      <c r="B11" s="212"/>
      <c r="C11" s="212"/>
      <c r="D11" s="68" t="s">
        <v>31</v>
      </c>
      <c r="E11" s="68">
        <v>49450</v>
      </c>
      <c r="F11" s="68"/>
      <c r="G11" s="214"/>
      <c r="H11" s="231"/>
      <c r="I11" s="214"/>
      <c r="J11" s="213"/>
      <c r="K11" s="214"/>
      <c r="L11" s="214"/>
      <c r="M11" s="70"/>
      <c r="N11" s="217"/>
    </row>
    <row r="12" spans="1:14" ht="27.6" customHeight="1">
      <c r="A12" s="239" t="s">
        <v>29</v>
      </c>
      <c r="B12" s="212">
        <v>40115</v>
      </c>
      <c r="C12" s="212">
        <v>43737</v>
      </c>
      <c r="D12" s="68" t="s">
        <v>24</v>
      </c>
      <c r="E12" s="68">
        <v>75892</v>
      </c>
      <c r="F12" s="214"/>
      <c r="G12" s="214">
        <v>4000</v>
      </c>
      <c r="H12" s="231"/>
      <c r="I12" s="214">
        <v>6616.7413999999999</v>
      </c>
      <c r="J12" s="214"/>
      <c r="K12" s="214">
        <f>372829.86217+I12</f>
        <v>379446.60356999998</v>
      </c>
      <c r="L12" s="214"/>
      <c r="M12" s="242" t="s">
        <v>42</v>
      </c>
      <c r="N12" s="216" t="s">
        <v>124</v>
      </c>
    </row>
    <row r="13" spans="1:14" ht="45.75" customHeight="1">
      <c r="A13" s="239"/>
      <c r="B13" s="212"/>
      <c r="C13" s="212"/>
      <c r="D13" s="68" t="s">
        <v>28</v>
      </c>
      <c r="E13" s="68">
        <v>140000</v>
      </c>
      <c r="F13" s="214"/>
      <c r="G13" s="214"/>
      <c r="H13" s="231"/>
      <c r="I13" s="214"/>
      <c r="J13" s="214"/>
      <c r="K13" s="214"/>
      <c r="L13" s="214"/>
      <c r="M13" s="242"/>
      <c r="N13" s="217"/>
    </row>
    <row r="14" spans="1:14" ht="34.15" customHeight="1">
      <c r="A14" s="250" t="s">
        <v>79</v>
      </c>
      <c r="B14" s="252">
        <v>42898</v>
      </c>
      <c r="C14" s="252">
        <v>45107</v>
      </c>
      <c r="D14" s="76" t="s">
        <v>31</v>
      </c>
      <c r="E14" s="76">
        <v>108190</v>
      </c>
      <c r="F14" s="225"/>
      <c r="G14" s="225">
        <v>56000</v>
      </c>
      <c r="H14" s="254"/>
      <c r="I14" s="254">
        <v>11617.722</v>
      </c>
      <c r="J14" s="225"/>
      <c r="K14" s="225">
        <f>61088.39635+I14</f>
        <v>72706.118350000004</v>
      </c>
      <c r="L14" s="225"/>
      <c r="M14" s="70"/>
      <c r="N14" s="216" t="s">
        <v>125</v>
      </c>
    </row>
    <row r="15" spans="1:14" s="14" customFormat="1" ht="51" customHeight="1">
      <c r="A15" s="251"/>
      <c r="B15" s="253"/>
      <c r="C15" s="253"/>
      <c r="D15" s="76" t="s">
        <v>25</v>
      </c>
      <c r="E15" s="76">
        <v>114000</v>
      </c>
      <c r="F15" s="227"/>
      <c r="G15" s="227"/>
      <c r="H15" s="255"/>
      <c r="I15" s="255"/>
      <c r="J15" s="227"/>
      <c r="K15" s="227"/>
      <c r="L15" s="227"/>
      <c r="M15" s="78"/>
      <c r="N15" s="217"/>
    </row>
    <row r="16" spans="1:14" ht="129" customHeight="1">
      <c r="A16" s="130" t="s">
        <v>32</v>
      </c>
      <c r="B16" s="67">
        <v>40163</v>
      </c>
      <c r="C16" s="36">
        <v>45101</v>
      </c>
      <c r="D16" s="68" t="s">
        <v>30</v>
      </c>
      <c r="E16" s="68">
        <v>22132000</v>
      </c>
      <c r="F16" s="68"/>
      <c r="G16" s="89">
        <v>1600</v>
      </c>
      <c r="H16" s="76"/>
      <c r="I16" s="68">
        <v>349.69790999999998</v>
      </c>
      <c r="J16" s="68"/>
      <c r="K16" s="89">
        <f>395400.05161+I16</f>
        <v>395749.74952000001</v>
      </c>
      <c r="L16" s="68"/>
      <c r="M16" s="70" t="s">
        <v>42</v>
      </c>
      <c r="N16" s="74" t="s">
        <v>126</v>
      </c>
    </row>
    <row r="17" spans="1:14" ht="93" customHeight="1">
      <c r="A17" s="130" t="s">
        <v>57</v>
      </c>
      <c r="B17" s="67">
        <v>41040</v>
      </c>
      <c r="C17" s="67">
        <v>43797</v>
      </c>
      <c r="D17" s="68" t="s">
        <v>31</v>
      </c>
      <c r="E17" s="68">
        <v>200000</v>
      </c>
      <c r="F17" s="68">
        <v>20000</v>
      </c>
      <c r="G17" s="140">
        <v>52300</v>
      </c>
      <c r="H17" s="142">
        <v>8050</v>
      </c>
      <c r="I17" s="68">
        <v>6810.01883</v>
      </c>
      <c r="J17" s="68">
        <v>928.64247</v>
      </c>
      <c r="K17" s="89">
        <f>299698.79166+I17</f>
        <v>306508.81049</v>
      </c>
      <c r="L17" s="68">
        <f>30995.84934+J17</f>
        <v>31924.49181</v>
      </c>
      <c r="M17" s="70" t="s">
        <v>42</v>
      </c>
      <c r="N17" s="199" t="s">
        <v>174</v>
      </c>
    </row>
    <row r="18" spans="1:14" s="14" customFormat="1" ht="49.15" customHeight="1">
      <c r="A18" s="265" t="s">
        <v>112</v>
      </c>
      <c r="B18" s="111" t="s">
        <v>108</v>
      </c>
      <c r="C18" s="111" t="s">
        <v>109</v>
      </c>
      <c r="D18" s="110" t="s">
        <v>31</v>
      </c>
      <c r="E18" s="110">
        <v>16900</v>
      </c>
      <c r="F18" s="102"/>
      <c r="G18" s="225">
        <v>45600</v>
      </c>
      <c r="H18" s="254"/>
      <c r="I18" s="225"/>
      <c r="J18" s="225"/>
      <c r="K18" s="225">
        <f>125.74445+I18</f>
        <v>125.74445</v>
      </c>
      <c r="L18" s="225"/>
      <c r="M18" s="103"/>
      <c r="N18" s="216" t="s">
        <v>127</v>
      </c>
    </row>
    <row r="19" spans="1:14" s="14" customFormat="1" ht="42.6" customHeight="1">
      <c r="A19" s="266"/>
      <c r="B19" s="111"/>
      <c r="C19" s="111"/>
      <c r="D19" s="110"/>
      <c r="E19" s="110"/>
      <c r="F19" s="82"/>
      <c r="G19" s="227"/>
      <c r="H19" s="255"/>
      <c r="I19" s="227"/>
      <c r="J19" s="227"/>
      <c r="K19" s="227"/>
      <c r="L19" s="227"/>
      <c r="M19" s="93"/>
      <c r="N19" s="217"/>
    </row>
    <row r="20" spans="1:14" s="14" customFormat="1" ht="51.75" customHeight="1">
      <c r="A20" s="130" t="s">
        <v>98</v>
      </c>
      <c r="B20" s="83"/>
      <c r="C20" s="83"/>
      <c r="D20" s="82"/>
      <c r="E20" s="82"/>
      <c r="F20" s="82"/>
      <c r="G20" s="89">
        <v>63550</v>
      </c>
      <c r="H20" s="82"/>
      <c r="I20" s="176">
        <v>267.71526</v>
      </c>
      <c r="J20" s="82"/>
      <c r="K20" s="89">
        <f>113756.3746+I20</f>
        <v>114024.08985999999</v>
      </c>
      <c r="L20" s="82"/>
      <c r="M20" s="93"/>
      <c r="N20" s="197" t="s">
        <v>175</v>
      </c>
    </row>
    <row r="21" spans="1:14" s="14" customFormat="1" ht="76.5" customHeight="1">
      <c r="A21" s="130" t="s">
        <v>99</v>
      </c>
      <c r="B21" s="83"/>
      <c r="C21" s="83"/>
      <c r="D21" s="82"/>
      <c r="E21" s="82"/>
      <c r="F21" s="82"/>
      <c r="G21" s="89">
        <v>96850</v>
      </c>
      <c r="H21" s="193"/>
      <c r="I21" s="194">
        <v>25.443619999999999</v>
      </c>
      <c r="J21" s="82"/>
      <c r="K21" s="89">
        <f>201682.00984+I21</f>
        <v>201707.45346000002</v>
      </c>
      <c r="L21" s="82"/>
      <c r="M21" s="93"/>
      <c r="N21" s="183" t="s">
        <v>164</v>
      </c>
    </row>
    <row r="22" spans="1:14" s="14" customFormat="1" ht="81" customHeight="1">
      <c r="A22" s="130" t="s">
        <v>100</v>
      </c>
      <c r="B22" s="83"/>
      <c r="C22" s="83"/>
      <c r="D22" s="82"/>
      <c r="E22" s="82"/>
      <c r="F22" s="82"/>
      <c r="G22" s="89">
        <v>48850</v>
      </c>
      <c r="H22" s="82"/>
      <c r="I22" s="82"/>
      <c r="J22" s="82"/>
      <c r="K22" s="89"/>
      <c r="L22" s="82"/>
      <c r="M22" s="93"/>
      <c r="N22" s="197" t="s">
        <v>176</v>
      </c>
    </row>
    <row r="23" spans="1:14" s="14" customFormat="1" ht="57" customHeight="1">
      <c r="A23" s="130" t="s">
        <v>101</v>
      </c>
      <c r="B23" s="83"/>
      <c r="C23" s="83"/>
      <c r="D23" s="82"/>
      <c r="E23" s="82"/>
      <c r="F23" s="82"/>
      <c r="G23" s="89">
        <v>48700</v>
      </c>
      <c r="H23" s="82"/>
      <c r="I23" s="82"/>
      <c r="J23" s="82"/>
      <c r="K23" s="89">
        <f>20357.40381+I23</f>
        <v>20357.40381</v>
      </c>
      <c r="L23" s="82"/>
      <c r="M23" s="93"/>
      <c r="N23" s="183" t="s">
        <v>167</v>
      </c>
    </row>
    <row r="24" spans="1:14" s="14" customFormat="1" ht="105.75" customHeight="1">
      <c r="A24" s="130" t="s">
        <v>102</v>
      </c>
      <c r="B24" s="83"/>
      <c r="C24" s="83"/>
      <c r="D24" s="82"/>
      <c r="E24" s="82"/>
      <c r="F24" s="82"/>
      <c r="G24" s="89"/>
      <c r="H24" s="82"/>
      <c r="I24" s="82"/>
      <c r="J24" s="82"/>
      <c r="K24" s="89"/>
      <c r="L24" s="82"/>
      <c r="M24" s="93"/>
      <c r="N24" s="197" t="s">
        <v>177</v>
      </c>
    </row>
    <row r="25" spans="1:14" s="14" customFormat="1" ht="59.25" customHeight="1">
      <c r="A25" s="130" t="s">
        <v>103</v>
      </c>
      <c r="B25" s="83"/>
      <c r="C25" s="83"/>
      <c r="D25" s="82"/>
      <c r="E25" s="82"/>
      <c r="F25" s="82"/>
      <c r="G25" s="89"/>
      <c r="H25" s="82"/>
      <c r="I25" s="82"/>
      <c r="J25" s="82"/>
      <c r="K25" s="89"/>
      <c r="L25" s="82"/>
      <c r="M25" s="93"/>
      <c r="N25" s="113" t="s">
        <v>128</v>
      </c>
    </row>
    <row r="26" spans="1:14" s="14" customFormat="1" ht="73.5" customHeight="1">
      <c r="A26" s="130" t="s">
        <v>104</v>
      </c>
      <c r="B26" s="83"/>
      <c r="C26" s="83"/>
      <c r="D26" s="82"/>
      <c r="E26" s="82"/>
      <c r="F26" s="82"/>
      <c r="G26" s="89">
        <v>122275</v>
      </c>
      <c r="H26" s="82"/>
      <c r="I26" s="82"/>
      <c r="J26" s="82"/>
      <c r="K26" s="89"/>
      <c r="L26" s="82"/>
      <c r="M26" s="93"/>
      <c r="N26" s="190" t="s">
        <v>169</v>
      </c>
    </row>
    <row r="27" spans="1:14" s="14" customFormat="1" ht="46.5" customHeight="1">
      <c r="A27" s="130" t="s">
        <v>105</v>
      </c>
      <c r="B27" s="83"/>
      <c r="C27" s="83"/>
      <c r="D27" s="82"/>
      <c r="E27" s="82"/>
      <c r="F27" s="82"/>
      <c r="G27" s="89"/>
      <c r="H27" s="82"/>
      <c r="I27" s="82"/>
      <c r="J27" s="82"/>
      <c r="K27" s="89"/>
      <c r="L27" s="82"/>
      <c r="M27" s="93"/>
      <c r="N27" s="113" t="s">
        <v>110</v>
      </c>
    </row>
    <row r="28" spans="1:14" s="14" customFormat="1" ht="62.25" customHeight="1">
      <c r="A28" s="130" t="s">
        <v>106</v>
      </c>
      <c r="B28" s="83"/>
      <c r="C28" s="83"/>
      <c r="D28" s="82"/>
      <c r="E28" s="82"/>
      <c r="F28" s="82"/>
      <c r="G28" s="89"/>
      <c r="H28" s="82"/>
      <c r="I28" s="82"/>
      <c r="J28" s="82"/>
      <c r="K28" s="89"/>
      <c r="L28" s="82"/>
      <c r="M28" s="93"/>
      <c r="N28" s="113" t="s">
        <v>111</v>
      </c>
    </row>
    <row r="29" spans="1:14" s="4" customFormat="1" ht="22.9" customHeight="1">
      <c r="A29" s="239" t="s">
        <v>1</v>
      </c>
      <c r="B29" s="212">
        <v>40990</v>
      </c>
      <c r="C29" s="212">
        <v>43646</v>
      </c>
      <c r="D29" s="68" t="s">
        <v>24</v>
      </c>
      <c r="E29" s="68">
        <v>25800</v>
      </c>
      <c r="F29" s="214"/>
      <c r="G29" s="214">
        <v>2300</v>
      </c>
      <c r="H29" s="231"/>
      <c r="I29" s="214">
        <v>541.74595999999997</v>
      </c>
      <c r="J29" s="213"/>
      <c r="K29" s="214">
        <f>126586.68242+I29</f>
        <v>127128.42838</v>
      </c>
      <c r="L29" s="214"/>
      <c r="M29" s="242" t="s">
        <v>42</v>
      </c>
      <c r="N29" s="216" t="s">
        <v>129</v>
      </c>
    </row>
    <row r="30" spans="1:14" s="4" customFormat="1" ht="38.25" customHeight="1">
      <c r="A30" s="239"/>
      <c r="B30" s="212"/>
      <c r="C30" s="212"/>
      <c r="D30" s="68" t="s">
        <v>25</v>
      </c>
      <c r="E30" s="68">
        <v>30000</v>
      </c>
      <c r="F30" s="214"/>
      <c r="G30" s="214"/>
      <c r="H30" s="231"/>
      <c r="I30" s="214"/>
      <c r="J30" s="213"/>
      <c r="K30" s="214"/>
      <c r="L30" s="214"/>
      <c r="M30" s="242"/>
      <c r="N30" s="217"/>
    </row>
    <row r="31" spans="1:14" s="4" customFormat="1" ht="73.5" customHeight="1">
      <c r="A31" s="130" t="s">
        <v>46</v>
      </c>
      <c r="B31" s="67">
        <v>41829</v>
      </c>
      <c r="C31" s="67">
        <v>43373</v>
      </c>
      <c r="D31" s="68" t="s">
        <v>25</v>
      </c>
      <c r="E31" s="68">
        <v>75000</v>
      </c>
      <c r="F31" s="68"/>
      <c r="G31" s="89">
        <v>32000</v>
      </c>
      <c r="H31" s="76"/>
      <c r="I31" s="68">
        <v>8323.4969000000001</v>
      </c>
      <c r="J31" s="68"/>
      <c r="K31" s="89">
        <f>111232.66285+I31</f>
        <v>119556.15974999999</v>
      </c>
      <c r="L31" s="68"/>
      <c r="M31" s="70" t="s">
        <v>42</v>
      </c>
      <c r="N31" s="189" t="s">
        <v>168</v>
      </c>
    </row>
    <row r="32" spans="1:14" s="4" customFormat="1" ht="149.25" customHeight="1">
      <c r="A32" s="108" t="s">
        <v>63</v>
      </c>
      <c r="B32" s="67">
        <v>42457</v>
      </c>
      <c r="C32" s="67">
        <v>44561</v>
      </c>
      <c r="D32" s="68" t="s">
        <v>25</v>
      </c>
      <c r="E32" s="68">
        <v>40000</v>
      </c>
      <c r="F32" s="68"/>
      <c r="G32" s="89">
        <v>20000</v>
      </c>
      <c r="H32" s="76"/>
      <c r="I32" s="68">
        <v>1461.36915</v>
      </c>
      <c r="J32" s="68"/>
      <c r="K32" s="89">
        <f>31603.92074+I32</f>
        <v>33065.28989</v>
      </c>
      <c r="L32" s="68"/>
      <c r="M32" s="70"/>
      <c r="N32" s="74" t="s">
        <v>130</v>
      </c>
    </row>
    <row r="33" spans="1:16" s="4" customFormat="1" ht="75" customHeight="1">
      <c r="A33" s="108" t="s">
        <v>95</v>
      </c>
      <c r="B33" s="105" t="s">
        <v>96</v>
      </c>
      <c r="C33" s="105" t="s">
        <v>97</v>
      </c>
      <c r="D33" s="104" t="s">
        <v>25</v>
      </c>
      <c r="E33" s="104">
        <v>80000</v>
      </c>
      <c r="F33" s="104"/>
      <c r="G33" s="104">
        <v>15400</v>
      </c>
      <c r="H33" s="104"/>
      <c r="I33" s="104">
        <v>2501.0181499999999</v>
      </c>
      <c r="J33" s="104"/>
      <c r="K33" s="158">
        <f>15769.12805+I33</f>
        <v>18270.146199999999</v>
      </c>
      <c r="L33" s="104"/>
      <c r="M33" s="77"/>
      <c r="N33" s="109" t="s">
        <v>178</v>
      </c>
    </row>
    <row r="34" spans="1:16" s="4" customFormat="1" ht="72.75" customHeight="1">
      <c r="A34" s="108" t="s">
        <v>64</v>
      </c>
      <c r="B34" s="67">
        <v>42752</v>
      </c>
      <c r="C34" s="67">
        <v>44196</v>
      </c>
      <c r="D34" s="68" t="s">
        <v>67</v>
      </c>
      <c r="E34" s="68">
        <v>8000</v>
      </c>
      <c r="F34" s="68"/>
      <c r="G34" s="89">
        <v>9200</v>
      </c>
      <c r="H34" s="76"/>
      <c r="I34" s="68">
        <v>97.661140000000003</v>
      </c>
      <c r="J34" s="68"/>
      <c r="K34" s="89">
        <f>795.30622+I34</f>
        <v>892.9673600000001</v>
      </c>
      <c r="L34" s="68"/>
      <c r="M34" s="70"/>
      <c r="N34" s="199" t="s">
        <v>179</v>
      </c>
    </row>
    <row r="35" spans="1:16" s="4" customFormat="1" ht="69" customHeight="1" thickBot="1">
      <c r="A35" s="131" t="s">
        <v>65</v>
      </c>
      <c r="B35" s="37">
        <v>42734</v>
      </c>
      <c r="C35" s="37">
        <v>43830</v>
      </c>
      <c r="D35" s="38" t="s">
        <v>31</v>
      </c>
      <c r="E35" s="38">
        <v>6000</v>
      </c>
      <c r="F35" s="38"/>
      <c r="G35" s="38">
        <v>2700</v>
      </c>
      <c r="H35" s="86"/>
      <c r="I35" s="38"/>
      <c r="J35" s="38"/>
      <c r="K35" s="38">
        <f>137.055+I35</f>
        <v>137.05500000000001</v>
      </c>
      <c r="L35" s="38"/>
      <c r="M35" s="39"/>
      <c r="N35" s="80" t="s">
        <v>170</v>
      </c>
    </row>
    <row r="36" spans="1:16" s="8" customFormat="1" ht="46.5" customHeight="1" thickBot="1">
      <c r="A36" s="209" t="s">
        <v>12</v>
      </c>
      <c r="B36" s="210"/>
      <c r="C36" s="210"/>
      <c r="D36" s="210"/>
      <c r="E36" s="210"/>
      <c r="F36" s="211"/>
      <c r="G36" s="40">
        <f>G37+G38+G39+G40+G42+G43+G45+G46+G48+G49+G50+G47+G52+G53</f>
        <v>211480</v>
      </c>
      <c r="H36" s="97">
        <f t="shared" ref="H36" si="1">H37+H38+H39+H40+H42+H43+H45+H46+H48+H49+H50+H47+H52+H53</f>
        <v>7100</v>
      </c>
      <c r="I36" s="40">
        <f>I37+I38+I39+I40+I42+I43+I45+I46+I48+I49+I50+I47+I52+I53+I51</f>
        <v>27374.467410000001</v>
      </c>
      <c r="J36" s="40">
        <f t="shared" ref="J36:L36" si="2">J37+J38+J39+J40+J42+J43+J45+J46+J48+J49+J50+J47+J52+J53+J51</f>
        <v>1405.06188</v>
      </c>
      <c r="K36" s="40">
        <f>K37+K38+K39+K40+K42+K43+K45+K46+K48+K49+K50+K47+K52+K53+K51</f>
        <v>798459.1205699998</v>
      </c>
      <c r="L36" s="40">
        <f t="shared" si="2"/>
        <v>16294.087809999999</v>
      </c>
      <c r="M36" s="41"/>
      <c r="N36" s="121"/>
      <c r="P36" s="11"/>
    </row>
    <row r="37" spans="1:16" ht="58.9" customHeight="1">
      <c r="A37" s="191" t="s">
        <v>51</v>
      </c>
      <c r="B37" s="42">
        <v>41869</v>
      </c>
      <c r="C37" s="42">
        <v>43646</v>
      </c>
      <c r="D37" s="43" t="s">
        <v>25</v>
      </c>
      <c r="E37" s="43">
        <v>30000</v>
      </c>
      <c r="F37" s="43">
        <v>5000</v>
      </c>
      <c r="G37" s="43">
        <v>8800</v>
      </c>
      <c r="H37" s="84">
        <v>3600</v>
      </c>
      <c r="I37" s="43">
        <v>1978.4983999999999</v>
      </c>
      <c r="J37" s="84">
        <v>1405.06188</v>
      </c>
      <c r="K37" s="43">
        <f>42550.40846+I37</f>
        <v>44528.906859999996</v>
      </c>
      <c r="L37" s="43">
        <f>4758.74569+J37</f>
        <v>6163.8075699999999</v>
      </c>
      <c r="M37" s="44"/>
      <c r="N37" s="122" t="s">
        <v>131</v>
      </c>
    </row>
    <row r="38" spans="1:16" ht="77.45" customHeight="1">
      <c r="A38" s="132" t="s">
        <v>6</v>
      </c>
      <c r="B38" s="72">
        <v>40227</v>
      </c>
      <c r="C38" s="45">
        <v>43465</v>
      </c>
      <c r="D38" s="71" t="s">
        <v>31</v>
      </c>
      <c r="E38" s="71">
        <v>3000</v>
      </c>
      <c r="F38" s="71"/>
      <c r="G38" s="90">
        <v>3000</v>
      </c>
      <c r="H38" s="85"/>
      <c r="I38" s="71"/>
      <c r="J38" s="71"/>
      <c r="K38" s="90">
        <f>74.757+I38</f>
        <v>74.757000000000005</v>
      </c>
      <c r="L38" s="71"/>
      <c r="M38" s="73" t="s">
        <v>39</v>
      </c>
      <c r="N38" s="123" t="s">
        <v>132</v>
      </c>
    </row>
    <row r="39" spans="1:16" ht="110.45" customHeight="1">
      <c r="A39" s="132" t="s">
        <v>58</v>
      </c>
      <c r="B39" s="72">
        <v>41621</v>
      </c>
      <c r="C39" s="72">
        <v>43465</v>
      </c>
      <c r="D39" s="71" t="s">
        <v>31</v>
      </c>
      <c r="E39" s="71">
        <v>20000</v>
      </c>
      <c r="F39" s="71">
        <v>2000</v>
      </c>
      <c r="G39" s="90">
        <v>15000</v>
      </c>
      <c r="H39" s="85">
        <v>1000</v>
      </c>
      <c r="I39" s="71"/>
      <c r="J39" s="71"/>
      <c r="K39" s="46">
        <f>7439.85874+I39</f>
        <v>7439.8587399999997</v>
      </c>
      <c r="L39" s="71">
        <f>4849.88963+J39</f>
        <v>4849.8896299999997</v>
      </c>
      <c r="M39" s="73" t="s">
        <v>47</v>
      </c>
      <c r="N39" s="123" t="s">
        <v>133</v>
      </c>
    </row>
    <row r="40" spans="1:16" ht="84.6" customHeight="1">
      <c r="A40" s="229" t="s">
        <v>22</v>
      </c>
      <c r="B40" s="228">
        <v>40350</v>
      </c>
      <c r="C40" s="228">
        <v>44196</v>
      </c>
      <c r="D40" s="71" t="s">
        <v>24</v>
      </c>
      <c r="E40" s="71">
        <f>57986+10639</f>
        <v>68625</v>
      </c>
      <c r="F40" s="207"/>
      <c r="G40" s="237">
        <v>59650</v>
      </c>
      <c r="H40" s="208"/>
      <c r="I40" s="207">
        <v>12583.568359999999</v>
      </c>
      <c r="J40" s="207"/>
      <c r="K40" s="222">
        <f>358756.19854+I40</f>
        <v>371339.76689999999</v>
      </c>
      <c r="L40" s="207"/>
      <c r="M40" s="236" t="s">
        <v>40</v>
      </c>
      <c r="N40" s="232" t="s">
        <v>134</v>
      </c>
    </row>
    <row r="41" spans="1:16" ht="94.9" customHeight="1">
      <c r="A41" s="229"/>
      <c r="B41" s="228"/>
      <c r="C41" s="228"/>
      <c r="D41" s="71" t="s">
        <v>25</v>
      </c>
      <c r="E41" s="71">
        <f>48886+73000+20000</f>
        <v>141886</v>
      </c>
      <c r="F41" s="207"/>
      <c r="G41" s="238"/>
      <c r="H41" s="208"/>
      <c r="I41" s="207"/>
      <c r="J41" s="207"/>
      <c r="K41" s="223"/>
      <c r="L41" s="207"/>
      <c r="M41" s="236"/>
      <c r="N41" s="232"/>
    </row>
    <row r="42" spans="1:16" ht="109.9" customHeight="1">
      <c r="A42" s="192" t="s">
        <v>2</v>
      </c>
      <c r="B42" s="72">
        <v>40996</v>
      </c>
      <c r="C42" s="87">
        <v>43220</v>
      </c>
      <c r="D42" s="71" t="s">
        <v>25</v>
      </c>
      <c r="E42" s="71">
        <v>60000</v>
      </c>
      <c r="F42" s="71"/>
      <c r="G42" s="187">
        <v>30</v>
      </c>
      <c r="H42" s="85"/>
      <c r="I42" s="71"/>
      <c r="J42" s="47"/>
      <c r="K42" s="90">
        <f>102881.35442+I42</f>
        <v>102881.35442</v>
      </c>
      <c r="L42" s="71"/>
      <c r="M42" s="73" t="s">
        <v>40</v>
      </c>
      <c r="N42" s="123" t="s">
        <v>135</v>
      </c>
    </row>
    <row r="43" spans="1:16" ht="33.6" customHeight="1">
      <c r="A43" s="240" t="s">
        <v>3</v>
      </c>
      <c r="B43" s="228">
        <v>41222</v>
      </c>
      <c r="C43" s="228">
        <v>43830</v>
      </c>
      <c r="D43" s="71" t="s">
        <v>24</v>
      </c>
      <c r="E43" s="71">
        <v>19800</v>
      </c>
      <c r="F43" s="71"/>
      <c r="G43" s="207">
        <v>8500</v>
      </c>
      <c r="H43" s="208"/>
      <c r="I43" s="207">
        <v>3323.63265</v>
      </c>
      <c r="J43" s="207"/>
      <c r="K43" s="207">
        <f>57667.72863+I43</f>
        <v>60991.361279999997</v>
      </c>
      <c r="L43" s="207"/>
      <c r="M43" s="73" t="s">
        <v>40</v>
      </c>
      <c r="N43" s="232" t="s">
        <v>136</v>
      </c>
    </row>
    <row r="44" spans="1:16" ht="47.25" customHeight="1">
      <c r="A44" s="240"/>
      <c r="B44" s="228"/>
      <c r="C44" s="228"/>
      <c r="D44" s="71" t="s">
        <v>25</v>
      </c>
      <c r="E44" s="71">
        <v>9000</v>
      </c>
      <c r="F44" s="71"/>
      <c r="G44" s="207"/>
      <c r="H44" s="208"/>
      <c r="I44" s="207"/>
      <c r="J44" s="207"/>
      <c r="K44" s="207"/>
      <c r="L44" s="207"/>
      <c r="M44" s="73"/>
      <c r="N44" s="232"/>
    </row>
    <row r="45" spans="1:16" ht="78.75" customHeight="1">
      <c r="A45" s="132" t="s">
        <v>55</v>
      </c>
      <c r="B45" s="72">
        <v>42223</v>
      </c>
      <c r="C45" s="72">
        <v>43830</v>
      </c>
      <c r="D45" s="71" t="s">
        <v>25</v>
      </c>
      <c r="E45" s="71">
        <v>60000</v>
      </c>
      <c r="F45" s="71"/>
      <c r="G45" s="90">
        <v>24000</v>
      </c>
      <c r="H45" s="85"/>
      <c r="I45" s="71">
        <v>3317.364</v>
      </c>
      <c r="J45" s="71"/>
      <c r="K45" s="90">
        <f>31101.72865+I45</f>
        <v>34419.092649999999</v>
      </c>
      <c r="L45" s="71"/>
      <c r="M45" s="73"/>
      <c r="N45" s="123" t="s">
        <v>137</v>
      </c>
    </row>
    <row r="46" spans="1:16" s="10" customFormat="1" ht="60" customHeight="1">
      <c r="A46" s="132" t="s">
        <v>56</v>
      </c>
      <c r="B46" s="72">
        <v>42136</v>
      </c>
      <c r="C46" s="72">
        <v>43232</v>
      </c>
      <c r="D46" s="71" t="s">
        <v>31</v>
      </c>
      <c r="E46" s="71">
        <v>4300</v>
      </c>
      <c r="F46" s="71">
        <v>1843</v>
      </c>
      <c r="G46" s="90">
        <v>1000</v>
      </c>
      <c r="H46" s="85"/>
      <c r="I46" s="71"/>
      <c r="J46" s="71"/>
      <c r="K46" s="90">
        <f>119.7894+I46</f>
        <v>119.7894</v>
      </c>
      <c r="L46" s="71"/>
      <c r="M46" s="73"/>
      <c r="N46" s="123" t="s">
        <v>138</v>
      </c>
    </row>
    <row r="47" spans="1:16" s="10" customFormat="1" ht="80.25" customHeight="1">
      <c r="A47" s="171" t="s">
        <v>82</v>
      </c>
      <c r="B47" s="72">
        <v>42563</v>
      </c>
      <c r="C47" s="72">
        <v>43036</v>
      </c>
      <c r="D47" s="71" t="s">
        <v>31</v>
      </c>
      <c r="E47" s="71">
        <v>10000</v>
      </c>
      <c r="F47" s="71">
        <v>2000</v>
      </c>
      <c r="G47" s="90"/>
      <c r="H47" s="85">
        <v>500</v>
      </c>
      <c r="I47" s="71"/>
      <c r="J47" s="71"/>
      <c r="K47" s="90">
        <f>12332.76308+I47</f>
        <v>12332.763080000001</v>
      </c>
      <c r="L47" s="48">
        <f>5280.39061+J47</f>
        <v>5280.3906100000004</v>
      </c>
      <c r="M47" s="73"/>
      <c r="N47" s="123" t="s">
        <v>139</v>
      </c>
    </row>
    <row r="48" spans="1:16" s="4" customFormat="1" ht="86.25" customHeight="1">
      <c r="A48" s="200" t="s">
        <v>117</v>
      </c>
      <c r="B48" s="201">
        <v>43285</v>
      </c>
      <c r="C48" s="202">
        <v>44016</v>
      </c>
      <c r="D48" s="196" t="s">
        <v>31</v>
      </c>
      <c r="E48" s="196">
        <v>2830</v>
      </c>
      <c r="F48" s="196">
        <v>1870</v>
      </c>
      <c r="G48" s="196">
        <v>3000</v>
      </c>
      <c r="H48" s="196">
        <v>1000</v>
      </c>
      <c r="I48" s="196"/>
      <c r="J48" s="203"/>
      <c r="K48" s="196"/>
      <c r="L48" s="196"/>
      <c r="M48" s="204" t="s">
        <v>41</v>
      </c>
      <c r="N48" s="198" t="s">
        <v>180</v>
      </c>
    </row>
    <row r="49" spans="1:15" s="4" customFormat="1" ht="110.25" customHeight="1">
      <c r="A49" s="132" t="s">
        <v>61</v>
      </c>
      <c r="B49" s="72">
        <v>42411</v>
      </c>
      <c r="C49" s="72">
        <v>44238</v>
      </c>
      <c r="D49" s="71" t="s">
        <v>31</v>
      </c>
      <c r="E49" s="71">
        <v>100000</v>
      </c>
      <c r="F49" s="71"/>
      <c r="G49" s="90">
        <v>59500</v>
      </c>
      <c r="H49" s="85"/>
      <c r="I49" s="71">
        <v>5990.8658299999997</v>
      </c>
      <c r="J49" s="71"/>
      <c r="K49" s="90">
        <f>127652.683+I49</f>
        <v>133643.54883000001</v>
      </c>
      <c r="L49" s="71"/>
      <c r="M49" s="73"/>
      <c r="N49" s="123" t="s">
        <v>140</v>
      </c>
    </row>
    <row r="50" spans="1:15" s="4" customFormat="1" ht="76.5" customHeight="1">
      <c r="A50" s="145" t="s">
        <v>68</v>
      </c>
      <c r="B50" s="141">
        <v>42713</v>
      </c>
      <c r="C50" s="141">
        <v>44561</v>
      </c>
      <c r="D50" s="138" t="s">
        <v>31</v>
      </c>
      <c r="E50" s="138">
        <v>100000</v>
      </c>
      <c r="F50" s="138"/>
      <c r="G50" s="138">
        <v>8000</v>
      </c>
      <c r="H50" s="139"/>
      <c r="I50" s="138"/>
      <c r="J50" s="138"/>
      <c r="K50" s="138"/>
      <c r="L50" s="138"/>
      <c r="M50" s="144"/>
      <c r="N50" s="143" t="s">
        <v>141</v>
      </c>
    </row>
    <row r="51" spans="1:15" s="4" customFormat="1" ht="126.75" customHeight="1">
      <c r="A51" s="171" t="s">
        <v>165</v>
      </c>
      <c r="B51" s="184">
        <v>41884</v>
      </c>
      <c r="C51" s="87">
        <v>43830</v>
      </c>
      <c r="D51" s="185" t="s">
        <v>31</v>
      </c>
      <c r="E51" s="185">
        <v>13200</v>
      </c>
      <c r="F51" s="185"/>
      <c r="G51" s="185"/>
      <c r="H51" s="185"/>
      <c r="I51" s="185">
        <v>180.53817000000001</v>
      </c>
      <c r="J51" s="47"/>
      <c r="K51" s="185">
        <f>30507.38324+I51</f>
        <v>30687.921409999999</v>
      </c>
      <c r="L51" s="185"/>
      <c r="M51" s="186" t="s">
        <v>41</v>
      </c>
      <c r="N51" s="188" t="s">
        <v>166</v>
      </c>
    </row>
    <row r="52" spans="1:15" s="4" customFormat="1" ht="100.5" customHeight="1">
      <c r="A52" s="145" t="s">
        <v>118</v>
      </c>
      <c r="B52" s="141">
        <v>43035</v>
      </c>
      <c r="C52" s="141">
        <v>44925</v>
      </c>
      <c r="D52" s="138" t="s">
        <v>31</v>
      </c>
      <c r="E52" s="138">
        <v>30000</v>
      </c>
      <c r="F52" s="138">
        <v>2000</v>
      </c>
      <c r="G52" s="138">
        <v>1000</v>
      </c>
      <c r="H52" s="139">
        <v>1000</v>
      </c>
      <c r="I52" s="138"/>
      <c r="J52" s="138"/>
      <c r="K52" s="138"/>
      <c r="L52" s="138"/>
      <c r="M52" s="144"/>
      <c r="N52" s="198" t="s">
        <v>181</v>
      </c>
    </row>
    <row r="53" spans="1:15" s="4" customFormat="1" ht="119.25" customHeight="1" thickBot="1">
      <c r="A53" s="133" t="s">
        <v>119</v>
      </c>
      <c r="B53" s="49" t="s">
        <v>143</v>
      </c>
      <c r="C53" s="49" t="s">
        <v>161</v>
      </c>
      <c r="D53" s="50" t="s">
        <v>31</v>
      </c>
      <c r="E53" s="50">
        <v>15000</v>
      </c>
      <c r="F53" s="50"/>
      <c r="G53" s="50">
        <v>20000</v>
      </c>
      <c r="H53" s="98"/>
      <c r="I53" s="50"/>
      <c r="J53" s="50"/>
      <c r="K53" s="51"/>
      <c r="L53" s="50"/>
      <c r="M53" s="52"/>
      <c r="N53" s="124" t="s">
        <v>163</v>
      </c>
    </row>
    <row r="54" spans="1:15" s="8" customFormat="1" ht="37.15" customHeight="1" thickBot="1">
      <c r="A54" s="209" t="s">
        <v>15</v>
      </c>
      <c r="B54" s="210"/>
      <c r="C54" s="210"/>
      <c r="D54" s="210"/>
      <c r="E54" s="210"/>
      <c r="F54" s="211"/>
      <c r="G54" s="40">
        <f>G55+G56+G59+G61+G62+G60+G58</f>
        <v>156290</v>
      </c>
      <c r="H54" s="97">
        <f t="shared" ref="H54:L54" si="3">H55+H56+H59+H61+H62+H60+H58</f>
        <v>11695</v>
      </c>
      <c r="I54" s="40">
        <f t="shared" si="3"/>
        <v>44523.302029999999</v>
      </c>
      <c r="J54" s="40">
        <f t="shared" si="3"/>
        <v>5476.6346800000001</v>
      </c>
      <c r="K54" s="40">
        <f>K55+K56+K59+K61+K62+K60+K58</f>
        <v>711896.77661399986</v>
      </c>
      <c r="L54" s="40">
        <f t="shared" si="3"/>
        <v>103097.05677</v>
      </c>
      <c r="M54" s="41"/>
      <c r="N54" s="121"/>
      <c r="O54" s="12"/>
    </row>
    <row r="55" spans="1:15" ht="45.75" customHeight="1">
      <c r="A55" s="134" t="s">
        <v>23</v>
      </c>
      <c r="B55" s="53">
        <v>39626</v>
      </c>
      <c r="C55" s="53">
        <v>43829</v>
      </c>
      <c r="D55" s="32" t="s">
        <v>31</v>
      </c>
      <c r="E55" s="32">
        <v>3700</v>
      </c>
      <c r="F55" s="32">
        <v>1814</v>
      </c>
      <c r="G55" s="88">
        <v>1500</v>
      </c>
      <c r="H55" s="99"/>
      <c r="I55" s="32"/>
      <c r="J55" s="54"/>
      <c r="K55" s="88">
        <f>6580.461404+I55</f>
        <v>6580.4614039999997</v>
      </c>
      <c r="L55" s="32">
        <f>3649.68102+J55</f>
        <v>3649.68102</v>
      </c>
      <c r="M55" s="55" t="s">
        <v>40</v>
      </c>
      <c r="N55" s="125" t="s">
        <v>142</v>
      </c>
    </row>
    <row r="56" spans="1:15" ht="231" customHeight="1">
      <c r="A56" s="206" t="s">
        <v>4</v>
      </c>
      <c r="B56" s="212">
        <v>40673</v>
      </c>
      <c r="C56" s="212">
        <v>43738</v>
      </c>
      <c r="D56" s="33" t="s">
        <v>24</v>
      </c>
      <c r="E56" s="33">
        <f>51343+25047+64205+23005</f>
        <v>163600</v>
      </c>
      <c r="F56" s="214"/>
      <c r="G56" s="214">
        <v>122700</v>
      </c>
      <c r="H56" s="231"/>
      <c r="I56" s="231">
        <v>37168.595020000001</v>
      </c>
      <c r="J56" s="213"/>
      <c r="K56" s="214">
        <f>491362.10463+I56</f>
        <v>528530.69964999997</v>
      </c>
      <c r="L56" s="214"/>
      <c r="M56" s="34" t="s">
        <v>7</v>
      </c>
      <c r="N56" s="216" t="s">
        <v>182</v>
      </c>
    </row>
    <row r="57" spans="1:15" ht="243" customHeight="1">
      <c r="A57" s="206"/>
      <c r="B57" s="212"/>
      <c r="C57" s="212"/>
      <c r="D57" s="33" t="s">
        <v>25</v>
      </c>
      <c r="E57" s="33">
        <f>108000+43000+99000</f>
        <v>250000</v>
      </c>
      <c r="F57" s="214"/>
      <c r="G57" s="214"/>
      <c r="H57" s="231"/>
      <c r="I57" s="231"/>
      <c r="J57" s="213"/>
      <c r="K57" s="214"/>
      <c r="L57" s="214"/>
      <c r="M57" s="34"/>
      <c r="N57" s="217"/>
    </row>
    <row r="58" spans="1:15" s="14" customFormat="1" ht="75" customHeight="1">
      <c r="A58" s="75" t="s">
        <v>107</v>
      </c>
      <c r="B58" s="107" t="s">
        <v>144</v>
      </c>
      <c r="C58" s="107" t="s">
        <v>145</v>
      </c>
      <c r="D58" s="112" t="s">
        <v>31</v>
      </c>
      <c r="E58" s="106">
        <v>100</v>
      </c>
      <c r="F58" s="82"/>
      <c r="G58" s="89"/>
      <c r="H58" s="76">
        <v>2500</v>
      </c>
      <c r="I58" s="82"/>
      <c r="J58" s="92"/>
      <c r="K58" s="89">
        <f>35.07802+I58</f>
        <v>35.078020000000002</v>
      </c>
      <c r="L58" s="82"/>
      <c r="M58" s="93"/>
      <c r="N58" s="114" t="s">
        <v>146</v>
      </c>
    </row>
    <row r="59" spans="1:15" ht="196.5" customHeight="1">
      <c r="A59" s="75" t="s">
        <v>69</v>
      </c>
      <c r="B59" s="20">
        <v>40773</v>
      </c>
      <c r="C59" s="20">
        <v>43830</v>
      </c>
      <c r="D59" s="56" t="s">
        <v>31</v>
      </c>
      <c r="E59" s="56">
        <f>2988.339+4000+20000</f>
        <v>26988.339</v>
      </c>
      <c r="F59" s="56">
        <f>4500+6728.536+9000+4000+7000</f>
        <v>31228.536</v>
      </c>
      <c r="G59" s="89">
        <v>18400</v>
      </c>
      <c r="H59" s="76">
        <v>2850</v>
      </c>
      <c r="I59" s="56">
        <v>2137.8195500000002</v>
      </c>
      <c r="J59" s="56">
        <v>1416.4972299999999</v>
      </c>
      <c r="K59" s="89">
        <f>46200.7648+I59</f>
        <v>48338.584349999997</v>
      </c>
      <c r="L59" s="56">
        <f>57507.50654+J59</f>
        <v>58924.003770000003</v>
      </c>
      <c r="M59" s="33" t="s">
        <v>8</v>
      </c>
      <c r="N59" s="74" t="s">
        <v>83</v>
      </c>
    </row>
    <row r="60" spans="1:15" ht="67.5" customHeight="1">
      <c r="A60" s="75" t="s">
        <v>78</v>
      </c>
      <c r="B60" s="20">
        <v>42360</v>
      </c>
      <c r="C60" s="20">
        <v>44012</v>
      </c>
      <c r="D60" s="33" t="s">
        <v>31</v>
      </c>
      <c r="E60" s="33">
        <v>30000</v>
      </c>
      <c r="F60" s="33">
        <v>2000</v>
      </c>
      <c r="G60" s="89">
        <v>9690</v>
      </c>
      <c r="H60" s="76">
        <v>4345</v>
      </c>
      <c r="I60" s="33">
        <v>161.09530000000001</v>
      </c>
      <c r="J60" s="33">
        <v>220.72931</v>
      </c>
      <c r="K60" s="89">
        <f>34681.49112+I60</f>
        <v>34842.58642</v>
      </c>
      <c r="L60" s="33">
        <f>3499.04143+J60</f>
        <v>3719.7707400000004</v>
      </c>
      <c r="M60" s="33"/>
      <c r="N60" s="74" t="s">
        <v>147</v>
      </c>
    </row>
    <row r="61" spans="1:15" ht="54" customHeight="1">
      <c r="A61" s="75" t="s">
        <v>84</v>
      </c>
      <c r="B61" s="20">
        <v>41506</v>
      </c>
      <c r="C61" s="36">
        <v>43332</v>
      </c>
      <c r="D61" s="33" t="s">
        <v>31</v>
      </c>
      <c r="E61" s="33">
        <v>40000</v>
      </c>
      <c r="F61" s="33">
        <v>8000</v>
      </c>
      <c r="G61" s="89">
        <v>4000</v>
      </c>
      <c r="H61" s="76">
        <v>700</v>
      </c>
      <c r="I61" s="33">
        <v>5055.79216</v>
      </c>
      <c r="J61" s="56">
        <v>1338.1045799999999</v>
      </c>
      <c r="K61" s="89">
        <f>88513.57461+I61</f>
        <v>93569.366769999993</v>
      </c>
      <c r="L61" s="33">
        <f>17820.5113+J61</f>
        <v>19158.615879999998</v>
      </c>
      <c r="M61" s="34" t="s">
        <v>40</v>
      </c>
      <c r="N61" s="74" t="s">
        <v>148</v>
      </c>
    </row>
    <row r="62" spans="1:15" ht="66" customHeight="1" thickBot="1">
      <c r="A62" s="135" t="s">
        <v>36</v>
      </c>
      <c r="B62" s="37">
        <v>41480</v>
      </c>
      <c r="C62" s="37" t="s">
        <v>172</v>
      </c>
      <c r="D62" s="38" t="s">
        <v>25</v>
      </c>
      <c r="E62" s="38"/>
      <c r="F62" s="38">
        <v>10052.155000000001</v>
      </c>
      <c r="G62" s="38"/>
      <c r="H62" s="86">
        <v>1300</v>
      </c>
      <c r="I62" s="38"/>
      <c r="J62" s="57">
        <v>2501.3035599999998</v>
      </c>
      <c r="K62" s="38"/>
      <c r="L62" s="38">
        <f>15143.6818+J62</f>
        <v>17644.985359999999</v>
      </c>
      <c r="M62" s="39" t="s">
        <v>40</v>
      </c>
      <c r="N62" s="80" t="s">
        <v>93</v>
      </c>
    </row>
    <row r="63" spans="1:15" s="8" customFormat="1" ht="30" customHeight="1" thickBot="1">
      <c r="A63" s="209" t="s">
        <v>11</v>
      </c>
      <c r="B63" s="210"/>
      <c r="C63" s="210"/>
      <c r="D63" s="210"/>
      <c r="E63" s="210"/>
      <c r="F63" s="211"/>
      <c r="G63" s="40">
        <f t="shared" ref="G63:L63" si="4">G64+G65+G69+G66+G68+G67+G70+G71+G72+G73+G74+G75</f>
        <v>86600</v>
      </c>
      <c r="H63" s="97">
        <f t="shared" si="4"/>
        <v>14000</v>
      </c>
      <c r="I63" s="40">
        <f t="shared" si="4"/>
        <v>4164.5229600000002</v>
      </c>
      <c r="J63" s="40">
        <f t="shared" si="4"/>
        <v>0</v>
      </c>
      <c r="K63" s="40">
        <f t="shared" si="4"/>
        <v>262368.248525</v>
      </c>
      <c r="L63" s="40">
        <f t="shared" si="4"/>
        <v>20950.680079999998</v>
      </c>
      <c r="M63" s="41"/>
      <c r="N63" s="121"/>
    </row>
    <row r="64" spans="1:15" ht="120.75" customHeight="1">
      <c r="A64" s="134" t="s">
        <v>114</v>
      </c>
      <c r="B64" s="117">
        <v>43105</v>
      </c>
      <c r="C64" s="117" t="s">
        <v>113</v>
      </c>
      <c r="D64" s="115" t="s">
        <v>31</v>
      </c>
      <c r="E64" s="115">
        <v>28000</v>
      </c>
      <c r="F64" s="115">
        <v>7000</v>
      </c>
      <c r="G64" s="88">
        <v>15000</v>
      </c>
      <c r="H64" s="99">
        <v>10000</v>
      </c>
      <c r="I64" s="195">
        <v>356.97039999999998</v>
      </c>
      <c r="J64" s="91"/>
      <c r="K64" s="88">
        <f>2588.27771+I64</f>
        <v>2945.24811</v>
      </c>
      <c r="L64" s="88"/>
      <c r="M64" s="55" t="s">
        <v>9</v>
      </c>
      <c r="N64" s="125" t="s">
        <v>149</v>
      </c>
    </row>
    <row r="65" spans="1:14" ht="51" customHeight="1">
      <c r="A65" s="136" t="s">
        <v>85</v>
      </c>
      <c r="B65" s="219">
        <v>41572</v>
      </c>
      <c r="C65" s="219">
        <v>44012</v>
      </c>
      <c r="D65" s="225" t="s">
        <v>31</v>
      </c>
      <c r="E65" s="225">
        <f>25200+35000</f>
        <v>60200</v>
      </c>
      <c r="F65" s="33">
        <v>8000</v>
      </c>
      <c r="G65" s="89">
        <v>6400</v>
      </c>
      <c r="H65" s="76"/>
      <c r="I65" s="33">
        <v>666.02692999999999</v>
      </c>
      <c r="J65" s="33"/>
      <c r="K65" s="89">
        <f>92412.661955+I65</f>
        <v>93078.68888500001</v>
      </c>
      <c r="L65" s="33">
        <v>20950.680079999998</v>
      </c>
      <c r="M65" s="34" t="s">
        <v>33</v>
      </c>
      <c r="N65" s="235" t="s">
        <v>150</v>
      </c>
    </row>
    <row r="66" spans="1:14" s="10" customFormat="1" ht="69.75" customHeight="1">
      <c r="A66" s="136" t="s">
        <v>86</v>
      </c>
      <c r="B66" s="220"/>
      <c r="C66" s="220"/>
      <c r="D66" s="226"/>
      <c r="E66" s="226"/>
      <c r="F66" s="33"/>
      <c r="G66" s="89">
        <v>4700</v>
      </c>
      <c r="H66" s="76"/>
      <c r="I66" s="33">
        <v>3141.5256300000001</v>
      </c>
      <c r="J66" s="33"/>
      <c r="K66" s="89">
        <f>45219.89027+I66</f>
        <v>48361.415900000007</v>
      </c>
      <c r="L66" s="33"/>
      <c r="M66" s="34"/>
      <c r="N66" s="235"/>
    </row>
    <row r="67" spans="1:14" ht="59.25" customHeight="1">
      <c r="A67" s="75" t="s">
        <v>73</v>
      </c>
      <c r="B67" s="221"/>
      <c r="C67" s="221"/>
      <c r="D67" s="227"/>
      <c r="E67" s="227"/>
      <c r="F67" s="33"/>
      <c r="G67" s="89"/>
      <c r="H67" s="76"/>
      <c r="I67" s="33"/>
      <c r="J67" s="56"/>
      <c r="K67" s="89">
        <v>5120.6747100000002</v>
      </c>
      <c r="L67" s="33"/>
      <c r="M67" s="34"/>
      <c r="N67" s="116" t="s">
        <v>151</v>
      </c>
    </row>
    <row r="68" spans="1:14" ht="96.75" customHeight="1">
      <c r="A68" s="75" t="s">
        <v>72</v>
      </c>
      <c r="B68" s="20">
        <v>42838</v>
      </c>
      <c r="C68" s="36">
        <v>44742</v>
      </c>
      <c r="D68" s="81" t="s">
        <v>31</v>
      </c>
      <c r="E68" s="79">
        <v>125000</v>
      </c>
      <c r="F68" s="33"/>
      <c r="G68" s="158">
        <v>5000</v>
      </c>
      <c r="H68" s="159">
        <v>4000</v>
      </c>
      <c r="I68" s="33"/>
      <c r="J68" s="56"/>
      <c r="K68" s="89"/>
      <c r="L68" s="33"/>
      <c r="M68" s="34"/>
      <c r="N68" s="116" t="s">
        <v>152</v>
      </c>
    </row>
    <row r="69" spans="1:14" ht="62.25" customHeight="1">
      <c r="A69" s="75" t="s">
        <v>62</v>
      </c>
      <c r="B69" s="212">
        <v>41885</v>
      </c>
      <c r="C69" s="212">
        <v>44378</v>
      </c>
      <c r="D69" s="33" t="s">
        <v>25</v>
      </c>
      <c r="E69" s="214">
        <v>60000</v>
      </c>
      <c r="F69" s="33"/>
      <c r="G69" s="89">
        <v>10000</v>
      </c>
      <c r="H69" s="76"/>
      <c r="I69" s="33"/>
      <c r="J69" s="56"/>
      <c r="K69" s="89">
        <f>112430.30228+I69</f>
        <v>112430.30228</v>
      </c>
      <c r="L69" s="33"/>
      <c r="M69" s="34"/>
      <c r="N69" s="74" t="s">
        <v>153</v>
      </c>
    </row>
    <row r="70" spans="1:14" ht="63.75" customHeight="1">
      <c r="A70" s="75" t="s">
        <v>74</v>
      </c>
      <c r="B70" s="212"/>
      <c r="C70" s="212"/>
      <c r="D70" s="33" t="s">
        <v>25</v>
      </c>
      <c r="E70" s="215"/>
      <c r="F70" s="33"/>
      <c r="G70" s="89"/>
      <c r="H70" s="76"/>
      <c r="I70" s="33"/>
      <c r="J70" s="56"/>
      <c r="K70" s="89">
        <f>431.91864+I70</f>
        <v>431.91863999999998</v>
      </c>
      <c r="L70" s="33"/>
      <c r="M70" s="34"/>
      <c r="N70" s="74" t="s">
        <v>90</v>
      </c>
    </row>
    <row r="71" spans="1:14" ht="165" customHeight="1">
      <c r="A71" s="75" t="s">
        <v>75</v>
      </c>
      <c r="B71" s="20"/>
      <c r="C71" s="20"/>
      <c r="D71" s="33" t="s">
        <v>31</v>
      </c>
      <c r="E71" s="33"/>
      <c r="F71" s="33"/>
      <c r="G71" s="89">
        <v>13500</v>
      </c>
      <c r="H71" s="76"/>
      <c r="I71" s="33"/>
      <c r="J71" s="56"/>
      <c r="K71" s="89"/>
      <c r="L71" s="33"/>
      <c r="M71" s="34"/>
      <c r="N71" s="116" t="s">
        <v>89</v>
      </c>
    </row>
    <row r="72" spans="1:14" ht="78.599999999999994" customHeight="1">
      <c r="A72" s="75" t="s">
        <v>76</v>
      </c>
      <c r="B72" s="20"/>
      <c r="C72" s="20"/>
      <c r="D72" s="33"/>
      <c r="E72" s="33"/>
      <c r="F72" s="33"/>
      <c r="G72" s="89">
        <v>9000</v>
      </c>
      <c r="H72" s="76"/>
      <c r="I72" s="33"/>
      <c r="J72" s="56"/>
      <c r="K72" s="89"/>
      <c r="L72" s="33"/>
      <c r="M72" s="34"/>
      <c r="N72" s="74" t="s">
        <v>80</v>
      </c>
    </row>
    <row r="73" spans="1:14" ht="123" customHeight="1">
      <c r="A73" s="181" t="s">
        <v>77</v>
      </c>
      <c r="B73" s="174"/>
      <c r="C73" s="36"/>
      <c r="D73" s="81"/>
      <c r="E73" s="175"/>
      <c r="F73" s="175"/>
      <c r="G73" s="175">
        <v>4500</v>
      </c>
      <c r="H73" s="176"/>
      <c r="I73" s="175"/>
      <c r="J73" s="177"/>
      <c r="K73" s="175"/>
      <c r="L73" s="175"/>
      <c r="M73" s="178"/>
      <c r="N73" s="180" t="s">
        <v>81</v>
      </c>
    </row>
    <row r="74" spans="1:14" s="14" customFormat="1" ht="50.25" customHeight="1">
      <c r="A74" s="156" t="s">
        <v>120</v>
      </c>
      <c r="B74" s="150"/>
      <c r="C74" s="36"/>
      <c r="D74" s="81" t="s">
        <v>31</v>
      </c>
      <c r="E74" s="151"/>
      <c r="F74" s="151"/>
      <c r="G74" s="151">
        <v>9500</v>
      </c>
      <c r="H74" s="152"/>
      <c r="I74" s="151"/>
      <c r="J74" s="153"/>
      <c r="K74" s="151"/>
      <c r="L74" s="151"/>
      <c r="M74" s="154"/>
      <c r="N74" s="155" t="s">
        <v>162</v>
      </c>
    </row>
    <row r="75" spans="1:14" s="14" customFormat="1" ht="45.75" customHeight="1" thickBot="1">
      <c r="A75" s="160" t="s">
        <v>121</v>
      </c>
      <c r="B75" s="161"/>
      <c r="C75" s="161"/>
      <c r="D75" s="162" t="s">
        <v>31</v>
      </c>
      <c r="E75" s="162"/>
      <c r="F75" s="162"/>
      <c r="G75" s="162">
        <v>9000</v>
      </c>
      <c r="H75" s="163"/>
      <c r="I75" s="162"/>
      <c r="J75" s="164"/>
      <c r="K75" s="162"/>
      <c r="L75" s="162"/>
      <c r="M75" s="165"/>
      <c r="N75" s="166" t="s">
        <v>162</v>
      </c>
    </row>
    <row r="76" spans="1:14" s="14" customFormat="1" ht="46.5" customHeight="1" thickBot="1">
      <c r="A76" s="209" t="s">
        <v>17</v>
      </c>
      <c r="B76" s="210"/>
      <c r="C76" s="210"/>
      <c r="D76" s="210"/>
      <c r="E76" s="210"/>
      <c r="F76" s="211"/>
      <c r="G76" s="40">
        <f>G77+G80+G82+G81</f>
        <v>19830</v>
      </c>
      <c r="H76" s="97">
        <f>H77+H80+H82+H81</f>
        <v>4310</v>
      </c>
      <c r="I76" s="40">
        <f t="shared" ref="I76:L76" si="5">I77+I80+I82+I81</f>
        <v>5806.1241200000004</v>
      </c>
      <c r="J76" s="40">
        <f t="shared" si="5"/>
        <v>1386.05502</v>
      </c>
      <c r="K76" s="40">
        <f t="shared" si="5"/>
        <v>71651.663285999995</v>
      </c>
      <c r="L76" s="40">
        <f t="shared" si="5"/>
        <v>7989.5385599999991</v>
      </c>
      <c r="M76" s="41"/>
      <c r="N76" s="121"/>
    </row>
    <row r="77" spans="1:14" s="14" customFormat="1" ht="121.15" customHeight="1">
      <c r="A77" s="218" t="s">
        <v>52</v>
      </c>
      <c r="B77" s="58">
        <v>42052</v>
      </c>
      <c r="C77" s="59">
        <v>43513</v>
      </c>
      <c r="D77" s="32" t="s">
        <v>24</v>
      </c>
      <c r="E77" s="32">
        <v>8610</v>
      </c>
      <c r="F77" s="32"/>
      <c r="G77" s="224">
        <v>6730</v>
      </c>
      <c r="H77" s="230">
        <v>4070</v>
      </c>
      <c r="I77" s="224">
        <v>3178.2687999999998</v>
      </c>
      <c r="J77" s="224">
        <v>1386.05502</v>
      </c>
      <c r="K77" s="224">
        <f>16279.05301+I77</f>
        <v>19457.321810000001</v>
      </c>
      <c r="L77" s="224">
        <f>6102.55654+J77</f>
        <v>7488.6115599999994</v>
      </c>
      <c r="M77" s="55"/>
      <c r="N77" s="233" t="s">
        <v>183</v>
      </c>
    </row>
    <row r="78" spans="1:14" s="14" customFormat="1" ht="125.45" customHeight="1">
      <c r="A78" s="206"/>
      <c r="B78" s="36">
        <v>41978</v>
      </c>
      <c r="C78" s="60">
        <v>42735</v>
      </c>
      <c r="D78" s="33" t="s">
        <v>25</v>
      </c>
      <c r="E78" s="33"/>
      <c r="F78" s="33">
        <v>500</v>
      </c>
      <c r="G78" s="214"/>
      <c r="H78" s="231"/>
      <c r="I78" s="214"/>
      <c r="J78" s="214"/>
      <c r="K78" s="214"/>
      <c r="L78" s="214"/>
      <c r="M78" s="34"/>
      <c r="N78" s="234"/>
    </row>
    <row r="79" spans="1:14" s="8" customFormat="1" ht="207.75" customHeight="1">
      <c r="A79" s="206"/>
      <c r="B79" s="36">
        <v>42052</v>
      </c>
      <c r="C79" s="61">
        <v>43513</v>
      </c>
      <c r="D79" s="33" t="s">
        <v>25</v>
      </c>
      <c r="E79" s="33"/>
      <c r="F79" s="33">
        <v>5300</v>
      </c>
      <c r="G79" s="214"/>
      <c r="H79" s="231"/>
      <c r="I79" s="214"/>
      <c r="J79" s="214"/>
      <c r="K79" s="214"/>
      <c r="L79" s="214"/>
      <c r="M79" s="34"/>
      <c r="N79" s="234"/>
    </row>
    <row r="80" spans="1:14" ht="86.25" customHeight="1">
      <c r="A80" s="206" t="s">
        <v>54</v>
      </c>
      <c r="B80" s="212">
        <v>41964</v>
      </c>
      <c r="C80" s="212">
        <v>43677</v>
      </c>
      <c r="D80" s="213" t="s">
        <v>24</v>
      </c>
      <c r="E80" s="214">
        <v>32400</v>
      </c>
      <c r="F80" s="214"/>
      <c r="G80" s="151">
        <v>11000</v>
      </c>
      <c r="H80" s="151"/>
      <c r="I80" s="33">
        <v>1974.1224</v>
      </c>
      <c r="J80" s="56"/>
      <c r="K80" s="89">
        <f>45181.823066+I80</f>
        <v>47155.945465999997</v>
      </c>
      <c r="L80" s="33"/>
      <c r="M80" s="34"/>
      <c r="N80" s="74" t="s">
        <v>154</v>
      </c>
    </row>
    <row r="81" spans="1:14" ht="77.25" customHeight="1">
      <c r="A81" s="206"/>
      <c r="B81" s="212"/>
      <c r="C81" s="212"/>
      <c r="D81" s="213"/>
      <c r="E81" s="214"/>
      <c r="F81" s="214"/>
      <c r="G81" s="151">
        <v>2100</v>
      </c>
      <c r="H81" s="151"/>
      <c r="I81" s="33">
        <v>653.73292000000004</v>
      </c>
      <c r="J81" s="56"/>
      <c r="K81" s="89">
        <f>4384.66309+I81</f>
        <v>5038.3960100000004</v>
      </c>
      <c r="L81" s="33"/>
      <c r="M81" s="34"/>
      <c r="N81" s="74" t="s">
        <v>155</v>
      </c>
    </row>
    <row r="82" spans="1:14" ht="87.75" customHeight="1" thickBot="1">
      <c r="A82" s="135" t="s">
        <v>53</v>
      </c>
      <c r="B82" s="37">
        <v>41946</v>
      </c>
      <c r="C82" s="62">
        <v>43190</v>
      </c>
      <c r="D82" s="57" t="s">
        <v>31</v>
      </c>
      <c r="E82" s="38"/>
      <c r="F82" s="38">
        <v>861</v>
      </c>
      <c r="G82" s="38"/>
      <c r="H82" s="86">
        <v>240</v>
      </c>
      <c r="I82" s="86"/>
      <c r="J82" s="38"/>
      <c r="K82" s="38"/>
      <c r="L82" s="38">
        <f>500.927+J82</f>
        <v>500.92700000000002</v>
      </c>
      <c r="M82" s="39"/>
      <c r="N82" s="80" t="s">
        <v>156</v>
      </c>
    </row>
    <row r="83" spans="1:14" ht="41.25" customHeight="1" thickBot="1">
      <c r="A83" s="209" t="s">
        <v>19</v>
      </c>
      <c r="B83" s="210"/>
      <c r="C83" s="210"/>
      <c r="D83" s="210"/>
      <c r="E83" s="210"/>
      <c r="F83" s="211"/>
      <c r="G83" s="40">
        <f>G84+G85</f>
        <v>0</v>
      </c>
      <c r="H83" s="97">
        <f t="shared" ref="H83:L83" si="6">H84+H85</f>
        <v>4645</v>
      </c>
      <c r="I83" s="40">
        <f t="shared" si="6"/>
        <v>0</v>
      </c>
      <c r="J83" s="40">
        <f t="shared" si="6"/>
        <v>442.69710999999995</v>
      </c>
      <c r="K83" s="40">
        <f t="shared" si="6"/>
        <v>0</v>
      </c>
      <c r="L83" s="40">
        <f t="shared" si="6"/>
        <v>22505.53112</v>
      </c>
      <c r="M83" s="63"/>
      <c r="N83" s="97"/>
    </row>
    <row r="84" spans="1:14" ht="158.25" customHeight="1">
      <c r="A84" s="134" t="s">
        <v>16</v>
      </c>
      <c r="B84" s="58">
        <v>40119</v>
      </c>
      <c r="C84" s="53">
        <v>43465</v>
      </c>
      <c r="D84" s="32" t="s">
        <v>31</v>
      </c>
      <c r="E84" s="32"/>
      <c r="F84" s="32">
        <v>2267</v>
      </c>
      <c r="G84" s="88"/>
      <c r="H84" s="99">
        <v>1345</v>
      </c>
      <c r="I84" s="32"/>
      <c r="J84" s="54">
        <v>248.31630999999999</v>
      </c>
      <c r="K84" s="88"/>
      <c r="L84" s="32">
        <f>6077.20889+J84</f>
        <v>6325.5252</v>
      </c>
      <c r="M84" s="55" t="s">
        <v>44</v>
      </c>
      <c r="N84" s="125" t="s">
        <v>157</v>
      </c>
    </row>
    <row r="85" spans="1:14" ht="195" customHeight="1" thickBot="1">
      <c r="A85" s="135" t="s">
        <v>5</v>
      </c>
      <c r="B85" s="62">
        <v>40589</v>
      </c>
      <c r="C85" s="62" t="s">
        <v>94</v>
      </c>
      <c r="D85" s="57" t="s">
        <v>31</v>
      </c>
      <c r="E85" s="38"/>
      <c r="F85" s="38">
        <v>8250</v>
      </c>
      <c r="G85" s="38"/>
      <c r="H85" s="86">
        <v>3300</v>
      </c>
      <c r="I85" s="38"/>
      <c r="J85" s="38">
        <v>194.38079999999999</v>
      </c>
      <c r="K85" s="38"/>
      <c r="L85" s="38">
        <f>15985.62512+J85</f>
        <v>16180.005920000001</v>
      </c>
      <c r="M85" s="39" t="s">
        <v>44</v>
      </c>
      <c r="N85" s="126" t="s">
        <v>158</v>
      </c>
    </row>
    <row r="86" spans="1:14" s="8" customFormat="1" ht="51.75" customHeight="1" thickBot="1">
      <c r="A86" s="209" t="s">
        <v>18</v>
      </c>
      <c r="B86" s="210"/>
      <c r="C86" s="210"/>
      <c r="D86" s="210"/>
      <c r="E86" s="210"/>
      <c r="F86" s="211"/>
      <c r="G86" s="40">
        <f>G87+G92+G89+G90+G88+G91</f>
        <v>146300</v>
      </c>
      <c r="H86" s="97">
        <f t="shared" ref="H86:L86" si="7">H87+H92+H89+H90+H88+H91</f>
        <v>42900</v>
      </c>
      <c r="I86" s="40">
        <f t="shared" si="7"/>
        <v>3904.2142599999997</v>
      </c>
      <c r="J86" s="40">
        <f t="shared" si="7"/>
        <v>29000.901636306</v>
      </c>
      <c r="K86" s="40">
        <f t="shared" si="7"/>
        <v>243326.54941999997</v>
      </c>
      <c r="L86" s="40">
        <f t="shared" si="7"/>
        <v>310799.81362770603</v>
      </c>
      <c r="M86" s="63"/>
      <c r="N86" s="97"/>
    </row>
    <row r="87" spans="1:14" ht="408.75" customHeight="1">
      <c r="A87" s="134" t="s">
        <v>49</v>
      </c>
      <c r="B87" s="58">
        <v>41103</v>
      </c>
      <c r="C87" s="58">
        <v>43307</v>
      </c>
      <c r="D87" s="54" t="s">
        <v>25</v>
      </c>
      <c r="E87" s="32"/>
      <c r="F87" s="32">
        <f>140000+2700</f>
        <v>142700</v>
      </c>
      <c r="G87" s="88"/>
      <c r="H87" s="99">
        <v>38900</v>
      </c>
      <c r="I87" s="32"/>
      <c r="J87" s="54">
        <v>29000.901636306</v>
      </c>
      <c r="K87" s="88"/>
      <c r="L87" s="32">
        <f>281798.9119914+J87</f>
        <v>310799.81362770603</v>
      </c>
      <c r="M87" s="55" t="s">
        <v>14</v>
      </c>
      <c r="N87" s="179" t="s">
        <v>184</v>
      </c>
    </row>
    <row r="88" spans="1:14" ht="148.5" customHeight="1">
      <c r="A88" s="75" t="s">
        <v>71</v>
      </c>
      <c r="B88" s="20">
        <v>42661</v>
      </c>
      <c r="C88" s="20">
        <v>44377</v>
      </c>
      <c r="D88" s="33" t="s">
        <v>31</v>
      </c>
      <c r="E88" s="33">
        <v>14000</v>
      </c>
      <c r="F88" s="33"/>
      <c r="G88" s="89">
        <v>1500</v>
      </c>
      <c r="H88" s="76">
        <v>1000</v>
      </c>
      <c r="I88" s="33"/>
      <c r="J88" s="33"/>
      <c r="K88" s="89"/>
      <c r="L88" s="35">
        <v>0</v>
      </c>
      <c r="M88" s="34"/>
      <c r="N88" s="173" t="s">
        <v>185</v>
      </c>
    </row>
    <row r="89" spans="1:14" s="8" customFormat="1" ht="107.25" customHeight="1">
      <c r="A89" s="136" t="s">
        <v>60</v>
      </c>
      <c r="B89" s="20">
        <v>42346</v>
      </c>
      <c r="C89" s="20">
        <v>43228</v>
      </c>
      <c r="D89" s="33" t="s">
        <v>31</v>
      </c>
      <c r="E89" s="33">
        <v>82821</v>
      </c>
      <c r="F89" s="33"/>
      <c r="G89" s="89">
        <v>55000</v>
      </c>
      <c r="H89" s="76"/>
      <c r="I89" s="33"/>
      <c r="J89" s="33"/>
      <c r="K89" s="89">
        <f>226048.34892+I89</f>
        <v>226048.34891999999</v>
      </c>
      <c r="L89" s="33"/>
      <c r="M89" s="34"/>
      <c r="N89" s="74" t="s">
        <v>91</v>
      </c>
    </row>
    <row r="90" spans="1:14" ht="89.25" customHeight="1">
      <c r="A90" s="136" t="s">
        <v>70</v>
      </c>
      <c r="B90" s="20">
        <v>42929</v>
      </c>
      <c r="C90" s="20">
        <v>43830</v>
      </c>
      <c r="D90" s="33" t="s">
        <v>31</v>
      </c>
      <c r="E90" s="33">
        <v>5500</v>
      </c>
      <c r="F90" s="33">
        <v>1500</v>
      </c>
      <c r="G90" s="89">
        <v>4800</v>
      </c>
      <c r="H90" s="76">
        <v>3000</v>
      </c>
      <c r="I90" s="33">
        <v>1017.89769</v>
      </c>
      <c r="J90" s="33"/>
      <c r="K90" s="158">
        <f>8749.28036+I90</f>
        <v>9767.1780500000004</v>
      </c>
      <c r="L90" s="35">
        <v>0</v>
      </c>
      <c r="M90" s="34"/>
      <c r="N90" s="172" t="s">
        <v>159</v>
      </c>
    </row>
    <row r="91" spans="1:14" ht="112.5" customHeight="1">
      <c r="A91" s="167" t="s">
        <v>122</v>
      </c>
      <c r="B91" s="157"/>
      <c r="C91" s="157"/>
      <c r="D91" s="148"/>
      <c r="E91" s="148"/>
      <c r="F91" s="148"/>
      <c r="G91" s="148">
        <v>75000</v>
      </c>
      <c r="H91" s="149"/>
      <c r="I91" s="148"/>
      <c r="J91" s="148"/>
      <c r="K91" s="168"/>
      <c r="L91" s="168"/>
      <c r="M91" s="169"/>
      <c r="N91" s="170" t="s">
        <v>162</v>
      </c>
    </row>
    <row r="92" spans="1:14" ht="163.9" customHeight="1" thickBot="1">
      <c r="A92" s="135" t="s">
        <v>59</v>
      </c>
      <c r="B92" s="62">
        <v>42457</v>
      </c>
      <c r="C92" s="62">
        <v>44316</v>
      </c>
      <c r="D92" s="57" t="s">
        <v>25</v>
      </c>
      <c r="E92" s="38">
        <v>40000</v>
      </c>
      <c r="F92" s="38"/>
      <c r="G92" s="38">
        <v>10000</v>
      </c>
      <c r="H92" s="86"/>
      <c r="I92" s="38">
        <v>2886.31657</v>
      </c>
      <c r="J92" s="38"/>
      <c r="K92" s="38">
        <f>4624.70588+I92</f>
        <v>7511.0224500000004</v>
      </c>
      <c r="L92" s="38"/>
      <c r="M92" s="39"/>
      <c r="N92" s="80" t="s">
        <v>160</v>
      </c>
    </row>
    <row r="93" spans="1:14" ht="38.25" customHeight="1" thickBot="1">
      <c r="A93" s="137"/>
      <c r="B93" s="64"/>
      <c r="C93" s="64"/>
      <c r="D93" s="65"/>
      <c r="E93" s="66"/>
      <c r="F93" s="40" t="s">
        <v>27</v>
      </c>
      <c r="G93" s="40">
        <f t="shared" ref="G93:L93" si="8">G7+G36+G54+G63+G76+G83+G86</f>
        <v>1301050</v>
      </c>
      <c r="H93" s="97">
        <f t="shared" si="8"/>
        <v>92700</v>
      </c>
      <c r="I93" s="40">
        <f t="shared" si="8"/>
        <v>137021.14980999997</v>
      </c>
      <c r="J93" s="40">
        <f t="shared" si="8"/>
        <v>38639.992796306004</v>
      </c>
      <c r="K93" s="40">
        <f t="shared" si="8"/>
        <v>4141449.787635</v>
      </c>
      <c r="L93" s="40">
        <f t="shared" si="8"/>
        <v>513561.199777706</v>
      </c>
      <c r="M93" s="66"/>
      <c r="N93" s="97"/>
    </row>
    <row r="94" spans="1:14" s="14" customFormat="1" ht="14.45" customHeight="1">
      <c r="A94" s="19"/>
      <c r="B94" s="18"/>
      <c r="C94" s="18"/>
      <c r="D94" s="19"/>
      <c r="E94" s="19"/>
      <c r="F94" s="19"/>
      <c r="G94" s="100"/>
      <c r="H94" s="19"/>
      <c r="I94" s="19"/>
      <c r="J94" s="19"/>
      <c r="K94" s="100"/>
      <c r="L94" s="19"/>
      <c r="M94" s="19"/>
      <c r="N94" s="13"/>
    </row>
    <row r="95" spans="1:14" s="10" customFormat="1" ht="25.15" customHeight="1">
      <c r="A95" s="205" t="s">
        <v>87</v>
      </c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</row>
    <row r="96" spans="1:14" s="7" customFormat="1" ht="29.25" customHeight="1">
      <c r="A96" s="14" t="s">
        <v>88</v>
      </c>
      <c r="B96" s="16"/>
      <c r="C96" s="16"/>
      <c r="D96" s="14"/>
      <c r="E96" s="14"/>
      <c r="F96" s="14"/>
      <c r="G96" s="5"/>
      <c r="H96" s="14"/>
      <c r="I96" s="182"/>
      <c r="J96" s="14"/>
      <c r="K96" s="101"/>
      <c r="L96" s="14"/>
      <c r="M96" s="14"/>
      <c r="N96" s="17"/>
    </row>
    <row r="97" spans="7:12" ht="8.25" customHeight="1"/>
    <row r="98" spans="7:12" ht="24" customHeight="1">
      <c r="J98" s="2"/>
    </row>
    <row r="99" spans="7:12" ht="27" customHeight="1">
      <c r="G99" s="23"/>
      <c r="H99" s="9"/>
      <c r="I99" s="9"/>
      <c r="J99" s="9"/>
      <c r="K99" s="146"/>
      <c r="L99" s="147"/>
    </row>
    <row r="100" spans="7:12" ht="19.5">
      <c r="G100" s="101"/>
      <c r="H100" s="2"/>
      <c r="I100" s="9"/>
      <c r="J100" s="2"/>
      <c r="K100" s="101"/>
      <c r="L100" s="2"/>
    </row>
    <row r="101" spans="7:12">
      <c r="I101" s="15"/>
    </row>
    <row r="102" spans="7:12" ht="24.75" customHeight="1"/>
  </sheetData>
  <mergeCells count="141">
    <mergeCell ref="A18:A19"/>
    <mergeCell ref="G18:G19"/>
    <mergeCell ref="K18:K19"/>
    <mergeCell ref="N18:N19"/>
    <mergeCell ref="L18:L19"/>
    <mergeCell ref="J18:J19"/>
    <mergeCell ref="I18:I19"/>
    <mergeCell ref="H18:H19"/>
    <mergeCell ref="D4:F4"/>
    <mergeCell ref="B8:B9"/>
    <mergeCell ref="M4:M5"/>
    <mergeCell ref="N4:N5"/>
    <mergeCell ref="N14:N15"/>
    <mergeCell ref="L14:L15"/>
    <mergeCell ref="I4:J4"/>
    <mergeCell ref="G10:G11"/>
    <mergeCell ref="F12:F13"/>
    <mergeCell ref="G8:G9"/>
    <mergeCell ref="G12:G13"/>
    <mergeCell ref="C4:C5"/>
    <mergeCell ref="B29:B30"/>
    <mergeCell ref="I5:J5"/>
    <mergeCell ref="D5:F5"/>
    <mergeCell ref="A14:A15"/>
    <mergeCell ref="B14:B15"/>
    <mergeCell ref="C14:C15"/>
    <mergeCell ref="G14:G15"/>
    <mergeCell ref="I14:I15"/>
    <mergeCell ref="K14:K15"/>
    <mergeCell ref="F14:F15"/>
    <mergeCell ref="H14:H15"/>
    <mergeCell ref="J14:J15"/>
    <mergeCell ref="A7:F7"/>
    <mergeCell ref="A4:A5"/>
    <mergeCell ref="B4:B5"/>
    <mergeCell ref="A12:A13"/>
    <mergeCell ref="B10:B11"/>
    <mergeCell ref="G4:H4"/>
    <mergeCell ref="G5:H5"/>
    <mergeCell ref="K8:K9"/>
    <mergeCell ref="K12:K13"/>
    <mergeCell ref="B12:B13"/>
    <mergeCell ref="G29:G30"/>
    <mergeCell ref="H29:H30"/>
    <mergeCell ref="I29:I30"/>
    <mergeCell ref="J29:J30"/>
    <mergeCell ref="J8:J9"/>
    <mergeCell ref="H12:H13"/>
    <mergeCell ref="K29:K30"/>
    <mergeCell ref="K5:L5"/>
    <mergeCell ref="K4:L4"/>
    <mergeCell ref="J12:J13"/>
    <mergeCell ref="I8:I9"/>
    <mergeCell ref="L29:L30"/>
    <mergeCell ref="H10:H11"/>
    <mergeCell ref="H8:H9"/>
    <mergeCell ref="A29:A30"/>
    <mergeCell ref="H56:H57"/>
    <mergeCell ref="B56:B57"/>
    <mergeCell ref="A43:A44"/>
    <mergeCell ref="B43:B44"/>
    <mergeCell ref="C43:C44"/>
    <mergeCell ref="G43:G44"/>
    <mergeCell ref="G56:G57"/>
    <mergeCell ref="N8:N9"/>
    <mergeCell ref="N12:N13"/>
    <mergeCell ref="N29:N30"/>
    <mergeCell ref="M29:M30"/>
    <mergeCell ref="M8:M9"/>
    <mergeCell ref="M12:M13"/>
    <mergeCell ref="N10:N11"/>
    <mergeCell ref="A8:A9"/>
    <mergeCell ref="C10:C11"/>
    <mergeCell ref="A10:A11"/>
    <mergeCell ref="I12:I13"/>
    <mergeCell ref="C8:C9"/>
    <mergeCell ref="C12:C13"/>
    <mergeCell ref="J10:J11"/>
    <mergeCell ref="L10:L11"/>
    <mergeCell ref="I10:I11"/>
    <mergeCell ref="C29:C30"/>
    <mergeCell ref="F8:F9"/>
    <mergeCell ref="L8:L9"/>
    <mergeCell ref="L12:L13"/>
    <mergeCell ref="K10:K11"/>
    <mergeCell ref="F29:F30"/>
    <mergeCell ref="A36:F36"/>
    <mergeCell ref="H77:H79"/>
    <mergeCell ref="N40:N41"/>
    <mergeCell ref="F40:F41"/>
    <mergeCell ref="I77:I79"/>
    <mergeCell ref="J77:J79"/>
    <mergeCell ref="K77:K79"/>
    <mergeCell ref="L77:L79"/>
    <mergeCell ref="N77:N79"/>
    <mergeCell ref="N65:N66"/>
    <mergeCell ref="N43:N44"/>
    <mergeCell ref="M40:M41"/>
    <mergeCell ref="G40:G41"/>
    <mergeCell ref="H40:H41"/>
    <mergeCell ref="I56:I57"/>
    <mergeCell ref="K56:K57"/>
    <mergeCell ref="J56:J57"/>
    <mergeCell ref="L43:L44"/>
    <mergeCell ref="I40:I41"/>
    <mergeCell ref="L40:L41"/>
    <mergeCell ref="A77:A79"/>
    <mergeCell ref="B65:B67"/>
    <mergeCell ref="J40:J41"/>
    <mergeCell ref="K40:K41"/>
    <mergeCell ref="A63:F63"/>
    <mergeCell ref="A76:F76"/>
    <mergeCell ref="G77:G79"/>
    <mergeCell ref="B69:B70"/>
    <mergeCell ref="L56:L57"/>
    <mergeCell ref="K43:K44"/>
    <mergeCell ref="J43:J44"/>
    <mergeCell ref="C65:C67"/>
    <mergeCell ref="D65:D67"/>
    <mergeCell ref="E65:E67"/>
    <mergeCell ref="C56:C57"/>
    <mergeCell ref="F56:F57"/>
    <mergeCell ref="C40:C41"/>
    <mergeCell ref="A54:F54"/>
    <mergeCell ref="A40:A41"/>
    <mergeCell ref="B40:B41"/>
    <mergeCell ref="A95:N95"/>
    <mergeCell ref="A56:A57"/>
    <mergeCell ref="I43:I44"/>
    <mergeCell ref="H43:H44"/>
    <mergeCell ref="A83:F83"/>
    <mergeCell ref="A86:F86"/>
    <mergeCell ref="A80:A81"/>
    <mergeCell ref="B80:B81"/>
    <mergeCell ref="C80:C81"/>
    <mergeCell ref="D80:D81"/>
    <mergeCell ref="E80:E81"/>
    <mergeCell ref="F80:F81"/>
    <mergeCell ref="C69:C70"/>
    <mergeCell ref="E69:E70"/>
    <mergeCell ref="N56:N57"/>
  </mergeCells>
  <printOptions horizontalCentered="1"/>
  <pageMargins left="0" right="0" top="7.874015748031496E-2" bottom="3.937007874015748E-2" header="0" footer="0"/>
  <pageSetup paperSize="9" scale="37" fitToHeight="5" orientation="landscape" r:id="rId1"/>
  <headerFooter alignWithMargins="0"/>
  <rowBreaks count="5" manualBreakCount="5">
    <brk id="25" max="13" man="1"/>
    <brk id="41" max="13" man="1"/>
    <brk id="53" max="13" man="1"/>
    <brk id="62" max="13" man="1"/>
    <brk id="7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WEB-2019</vt:lpstr>
      <vt:lpstr>'WEB-2019'!Print_Area</vt:lpstr>
      <vt:lpstr>'WEB-2019'!Print_Titles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pdd</dc:creator>
  <cp:lastModifiedBy>Anna Rusieshvili</cp:lastModifiedBy>
  <cp:lastPrinted>2019-05-10T07:15:27Z</cp:lastPrinted>
  <dcterms:created xsi:type="dcterms:W3CDTF">2011-04-14T08:42:21Z</dcterms:created>
  <dcterms:modified xsi:type="dcterms:W3CDTF">2019-05-28T12:12:28Z</dcterms:modified>
</cp:coreProperties>
</file>