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
    </mc:Choice>
  </mc:AlternateContent>
  <bookViews>
    <workbookView xWindow="330" yWindow="555" windowWidth="28425" windowHeight="5835" tabRatio="177"/>
  </bookViews>
  <sheets>
    <sheet name="For Website_ENG" sheetId="12" r:id="rId1"/>
  </sheets>
  <externalReferences>
    <externalReference r:id="rId2"/>
  </externalReferences>
  <definedNames>
    <definedName name="_xlnm.Print_Area" localSheetId="0">'For Website_ENG'!$A$1:$M$95</definedName>
    <definedName name="_xlnm.Print_Titles" localSheetId="0">'For Website_ENG'!$A:$A,'For Website_ENG'!$4:$6</definedName>
  </definedNames>
  <calcPr calcId="162913"/>
</workbook>
</file>

<file path=xl/calcChain.xml><?xml version="1.0" encoding="utf-8"?>
<calcChain xmlns="http://schemas.openxmlformats.org/spreadsheetml/2006/main">
  <c r="K91" i="12" l="1"/>
  <c r="K89" i="12" l="1"/>
  <c r="K88" i="12"/>
  <c r="L86" i="12"/>
  <c r="L84" i="12"/>
  <c r="L83" i="12"/>
  <c r="L81" i="12"/>
  <c r="K80" i="12"/>
  <c r="K79" i="12"/>
  <c r="L76" i="12"/>
  <c r="K76" i="12"/>
  <c r="L62" i="12"/>
  <c r="J62" i="12"/>
  <c r="I62" i="12"/>
  <c r="H62" i="12"/>
  <c r="G62" i="12"/>
  <c r="K69" i="12" l="1"/>
  <c r="K68" i="12"/>
  <c r="K65" i="12"/>
  <c r="K64" i="12"/>
  <c r="K63" i="12"/>
  <c r="L61" i="12"/>
  <c r="L60" i="12"/>
  <c r="K60" i="12"/>
  <c r="L59" i="12"/>
  <c r="K59" i="12"/>
  <c r="L58" i="12"/>
  <c r="K58" i="12"/>
  <c r="K57" i="12"/>
  <c r="K55" i="12"/>
  <c r="L54" i="12"/>
  <c r="K54" i="12"/>
  <c r="J36" i="12"/>
  <c r="I36" i="12"/>
  <c r="H36" i="12"/>
  <c r="G36" i="12"/>
  <c r="G53" i="12"/>
  <c r="K49" i="12"/>
  <c r="L47" i="12" l="1"/>
  <c r="K47" i="12"/>
  <c r="K46" i="12"/>
  <c r="K45" i="12"/>
  <c r="K43" i="12"/>
  <c r="K42" i="12"/>
  <c r="K40" i="12"/>
  <c r="L39" i="12"/>
  <c r="K39" i="12"/>
  <c r="K38" i="12"/>
  <c r="L37" i="12"/>
  <c r="K37" i="12"/>
  <c r="K35" i="12"/>
  <c r="K34" i="12"/>
  <c r="K33" i="12"/>
  <c r="K32" i="12"/>
  <c r="K31" i="12"/>
  <c r="K29" i="12"/>
  <c r="K23" i="12"/>
  <c r="K21" i="12"/>
  <c r="K20" i="12"/>
  <c r="K18" i="12"/>
  <c r="L17" i="12"/>
  <c r="K17" i="12"/>
  <c r="K16" i="12"/>
  <c r="K14" i="12"/>
  <c r="K12" i="12"/>
  <c r="K10" i="12"/>
  <c r="K8" i="12"/>
  <c r="L36" i="12" l="1"/>
  <c r="K36" i="12"/>
  <c r="G75" i="12"/>
  <c r="K66" i="12"/>
  <c r="K62" i="12" s="1"/>
  <c r="I75" i="12" l="1"/>
  <c r="J75" i="12"/>
  <c r="K75" i="12" l="1"/>
  <c r="I53" i="12" l="1"/>
  <c r="L75" i="12" l="1"/>
  <c r="F86" i="12" l="1"/>
  <c r="E64" i="12"/>
  <c r="F58" i="12"/>
  <c r="E58" i="12"/>
  <c r="E56" i="12"/>
  <c r="E55" i="12"/>
  <c r="E41" i="12"/>
  <c r="E40" i="12"/>
  <c r="J7" i="12" l="1"/>
  <c r="I7" i="12"/>
  <c r="H7" i="12"/>
  <c r="G7" i="12"/>
  <c r="L7" i="12"/>
  <c r="K7" i="12" l="1"/>
  <c r="H85" i="12"/>
  <c r="G85" i="12"/>
  <c r="K85" i="12" l="1"/>
  <c r="I85" i="12" l="1"/>
  <c r="J85" i="12"/>
  <c r="L85" i="12"/>
  <c r="G82" i="12"/>
  <c r="G92" i="12" s="1"/>
  <c r="G97" i="12" s="1"/>
  <c r="H82" i="12"/>
  <c r="I82" i="12"/>
  <c r="J82" i="12"/>
  <c r="K82" i="12"/>
  <c r="L82" i="12"/>
  <c r="H75" i="12"/>
  <c r="H53" i="12" l="1"/>
  <c r="H92" i="12" s="1"/>
  <c r="H97" i="12" s="1"/>
  <c r="I92" i="12"/>
  <c r="I97" i="12" s="1"/>
  <c r="J53" i="12"/>
  <c r="J92" i="12" s="1"/>
  <c r="J97" i="12" s="1"/>
  <c r="K53" i="12"/>
  <c r="K92" i="12" s="1"/>
  <c r="K97" i="12" s="1"/>
  <c r="L53" i="12"/>
  <c r="L92" i="12" s="1"/>
  <c r="L97" i="12" s="1"/>
</calcChain>
</file>

<file path=xl/sharedStrings.xml><?xml version="1.0" encoding="utf-8"?>
<sst xmlns="http://schemas.openxmlformats.org/spreadsheetml/2006/main" count="240" uniqueCount="169">
  <si>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</si>
  <si>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</si>
  <si>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</si>
  <si>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</si>
  <si>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</si>
  <si>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</si>
  <si>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</si>
  <si>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</si>
  <si>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</si>
  <si>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</si>
  <si>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</si>
  <si>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</si>
  <si>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</si>
  <si>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</si>
  <si>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</si>
  <si>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</si>
  <si>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</si>
  <si>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</si>
  <si>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</si>
  <si>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</si>
  <si>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</si>
  <si>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</si>
  <si>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</si>
  <si>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</si>
  <si>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</si>
  <si>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</si>
  <si>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</si>
  <si>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</si>
  <si>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</si>
  <si>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</si>
  <si>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</si>
  <si>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</si>
  <si>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</si>
  <si>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</si>
  <si>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</si>
  <si>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</si>
  <si>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</si>
  <si>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</si>
  <si>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</si>
  <si>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</si>
  <si>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</si>
  <si>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</si>
  <si>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</si>
  <si>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</si>
  <si>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</si>
  <si>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</si>
  <si>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</si>
  <si>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</si>
  <si>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</si>
  <si>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</si>
  <si>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</si>
  <si>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</si>
  <si>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</si>
  <si>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</si>
  <si>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</si>
  <si>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</si>
  <si>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</si>
  <si>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</si>
  <si>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</si>
  <si>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</si>
  <si>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</si>
  <si>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</si>
  <si>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</si>
  <si>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</si>
  <si>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</si>
  <si>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</si>
  <si>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</si>
  <si>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</si>
  <si>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</si>
  <si>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</si>
  <si>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</si>
  <si>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</si>
  <si>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</si>
  <si>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</si>
  <si>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</si>
  <si>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</si>
  <si>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15,10,2020</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</si>
  <si>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</si>
  <si>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</si>
  <si>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</si>
  <si>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</si>
  <si>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</si>
  <si>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</si>
  <si>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 of Grigoleti-Choloki (km48 - km64) section of Senaki-Poti-Sarpi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</si>
  <si>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</si>
  <si>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</si>
  <si>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</si>
  <si>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</si>
  <si>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</si>
  <si>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</si>
  <si>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</si>
  <si>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</si>
  <si>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</si>
  <si>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</si>
  <si>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</si>
  <si>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</si>
  <si>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</si>
  <si>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</si>
  <si>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</si>
  <si>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</si>
  <si>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</si>
  <si>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</si>
  <si>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</si>
  <si>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</si>
  <si>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</si>
  <si>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</si>
  <si>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</si>
  <si>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</si>
  <si>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</si>
  <si>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</si>
  <si>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</si>
  <si>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Reconstruction - Rehabilitation and necessary efficiency improvements of approximately 25 public schools in Tbilisi. (preparatory works are ongoing). 
At this stage the procedures of replacement the project implementing unit - Education and Science Infrastructure Development Agency with Municipal Development Found of Georgia is ongoing. Amendment to the loan agreement will be submitted to the Parliament of Georgia for ratification.</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</si>
  <si>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</si>
  <si>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</si>
  <si>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</si>
  <si>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</si>
  <si>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</si>
  <si>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</si>
  <si>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</si>
  <si>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 xml:space="preserve">Consturction-Rehabilitation of Khevi-Ubisa section of Tbilisi-Senaki-Leselidze Road (Tendering procedures are ongoing).  </t>
  </si>
  <si>
    <t>Construction of Rustavi-Red Bridge (km22 - km57) section of Tbilisi-Red Bridge (Border of Republic of Azerbaijan) (planned).</t>
  </si>
  <si>
    <t>Rehabilitation of secondary and local roads in different regions of Georgia (approx. 225 km in total) (completed).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</si>
  <si>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(project and rehabilitation works are ongoing); 
 -Monitoring and supervision of works contracts (supervision of rehabilitation works of 4 road sections is ongoing).</t>
  </si>
  <si>
    <t xml:space="preserve">Rehabilitation-reconstruction of the Khulo-Goderdzi Section of the Batumi-Akhaltsikhe Road Project (approximately 29 km 2 lane road) (Instructions for starting works were issued).  </t>
  </si>
  <si>
    <t>Construction-Rehabilitaion of Chumateleti-Khevi section of Tbilisi-Senaki-Leselidze Road ( the contract was signed  with the winner construction company).</t>
  </si>
  <si>
    <t>Construction of Grigoleti-Choloki (km48 - km64) section of Senaki-Poti-Sarpi Road  (the contract was signed with the winner construction company on the third of december 2018).</t>
  </si>
  <si>
    <t>Upgrading of approximately 11 km of the existing 2-line East-West Highway Corridor to a  2-line dual carriageway from  Chumateleti to Khevi;  ( the tender for construction works was announced on the 8th of November 2018). 
The project will be implemented by EIB co-financing.</t>
  </si>
  <si>
    <t xml:space="preserve"> Rehabilitation of secondary road connecting Dzirula-Kharagauli-Moliti-Pona-Chumateleti Road ( Dzirula-Moliti road rehabilitation - the constraction works are ongoing; the contract was signed with the winner construction company for rehabilitation of Moliti-Chumateeti road section).</t>
  </si>
  <si>
    <t>Construction of a new bridge at the Sadakhlo-Bagratashen border crossing between the Republic of Armenia and Georgia  (preparatory and project works started).</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</si>
  <si>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</si>
  <si>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</si>
  <si>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</si>
  <si>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</si>
  <si>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</si>
  <si>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</si>
  <si>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</si>
  <si>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 xml:space="preserve"> - Development of a network of Innovation Hubs and Innovation Centers in the various cities and villages of Georgia; (the procedure for restructuring this component of the project is ongoing);
 - Support to increase adoption and use of broadband internet services and advanced information technology by Eligible Households and Eligible MSMEs in rural areas of Georgia  (the procedure for restructuring this component of the project is ongoing);
 - Developing the innovation capacity of individuals and firms.  (the procedure for restructuring this component of the project is ongoing);</t>
  </si>
  <si>
    <t xml:space="preserve">As of January 31, 2019 (In thousand) </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</si>
  <si>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</si>
  <si>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</si>
  <si>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</si>
  <si>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</si>
  <si>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</si>
  <si>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</si>
  <si>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</si>
  <si>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 To  implement an environmentally and hygienically sound solid waste management system for  regions Kakheti and Samegrelo - Zemo Svaneti.</t>
  </si>
  <si>
    <t xml:space="preserve">
- Renewing the Solid Waste collection fleet (rear loaded compactor vehicles);
-  Upgrading of the existing solid waste transfer station;
- Rehabilitation and Improvement  of the  leachate system at the  solid waste landfill of Tbilisi.</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</si>
  <si>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</si>
  <si>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</si>
  <si>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</si>
  <si>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</si>
  <si>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the Zemo Osiauri - Chumateleti Section (approximately 14.1 km) of the Highway ( construction works are ongoing for Lot I, agreement for Lot II was terminated, the legal procedures are ongoing);  
 - Providing support for capacity building to the Roads Department of Georgia (planned);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</si>
  <si>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</si>
  <si>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 xml:space="preserve"> - Construction of a new four lane highway (approx. 52 km) from Samtredia to Grigoleti (construction works are going under the II, III და IV lots, the contract was signed with the winner construction company for remaining works under I lot, the mobilization and construction works started);  
 - Road sections of Poti-Grigoleti and Grigoleti-Kobuleti Bypass Road (  preparation of the Detailed Design was completed);</t>
  </si>
  <si>
    <t>Construction-Rehabilitation of Dzirula-Argveta section of Tbilisi-Senaki-Leselidze Road (Approval from the donor for tender disruption is received).</t>
  </si>
  <si>
    <t>Construction of road and tunnel on Kvesheti-Kobi section of Mtskheta-Stepantsminda-Larsi Road  ( Tendering procedures are ongoing for selecting the constructors and contractors; The announcement of the tender is scheduled at the end of February).</t>
  </si>
  <si>
    <t>Construction of Poti Bridge on River Rioni  (planned).</t>
  </si>
  <si>
    <t>Construction of Lochini-Sagarejo (km20-km50) section of Tbilisi-Bakurtsikhe-Lagodekhi Road  (planned).</t>
  </si>
  <si>
    <t xml:space="preserve">Rehabilitation of secondary and local roads in different regions of Georgia (approx. 200 km in total) (an additional 12 road will be  rehabilitated within the project (approx. 80 km in total),   the contracts were signed for the rehabilitation of 8 road sections and the rehabilitaton works are ongoing, the tendering procedures for selecting the contractor-construction companies for rehabilitation of 4 road secions are ongoing).  </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</si>
  <si>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</si>
  <si>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</si>
  <si>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</si>
  <si>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</si>
  <si>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-Mestia - Construction of Water Intake building (completed);Construction/rehabilitation of water supply and wastewater networks (construction works are completed); Construction of wastewater treatment plant and new reservoir, rehabilitation of existing reservoir (design-build is ongoing);
 -Anaklia - Construction of Water Intake building; Construction/rehabilitation of water supply and wastewater networks (completed); construction of wastewater treatment plant (the storage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(Soil reinforcement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Construction of Abasha main line (constructions works are ongoing).
-  Construction of Water Supply System in Telavi  (assessment procedures are ongoing); 
- Construction water and sewerage systems in Gudauri (the contract is signed) 
-  Constraction of wastewater treatment plant in Gudauri (tender procedures are ongoing).
</t>
  </si>
  <si>
    <t xml:space="preserve">  Kutaisi - Construction/rehabilitation of water supply systems and treatment Plant (the procedures of designing of construction works and supervisory service procurement are ongoing).</t>
  </si>
  <si>
    <t xml:space="preserve">upport for the growth of income of small farmers in various regions of Georgia and  promote investments in the production / processing / sale of agricultural products
- 4 demonstration plots for fruit trees,2 demonstration plots for vegetables and 3 demonstartion plots for berry plantation, 1 demonstation plot for bay-tree, demonstration plots for 1 conservative agriculture  and 2 storehouses of windmill in Kakheti, Shida Kartli, Adjara and Samegrelo regions were arranged. At this stage 44 trainings (theoretical and practical trainin) were arranged for  2398 participants.
- 337 small and large size grants were issued (350 for  enterprises ad 7 for processing enterprises); 
- Rehabilitation of distribution network for Tirifoni irrigation system in Gori Municipality is completed;
- The rehabilitation of the main channel and internal networks of irrigation system in Dzevera-Shurtula is completed;
-  The procedures for preparing the detailed project for rehabilitation of the irrigation distribution system and network is ongoing (Kvemo Alazani, Saltvisi); 
-  The contract was signed for rehabilitation / modernization of Qvemo Alazani irrigation system distribution channel; 
- The tender of the construction works is completed for the rehabilitation of small rural infrastructure (roads and bridges) in Shida Kartli (Kareli, Gori) and in Samegrelo (Khobi), tender proposals evaluation process is ongoing;
- Rehabilitation of rural road is completed in Lagodekhi Municipality  in village Giorgeti; 
- The detailed project  for landscape restoration plan of river Charebula in Shida Kartli, Gori Municipality is prepared; 
- The landscape restoration plan, in particular Windmill Arrangement Plan is prepared in Shida Kartli, Gori Municipality, village Sakasheti.    </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</si>
  <si>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</si>
  <si>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</si>
  <si>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71 public schools and equipping  with natural laboratories in Shida Kartli, Samtskhe-Javakheti, Racha-Lechkhumi and Kvemo Svaneti regions (completed); 
- Full rehabilitation of 20 public schools (is ongoing), 17 schools are located in western Georgia and 3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13,441 teachers were trained, including 1054 non-georgian language teacher. 
- Within the course of the subject methodology 14,153  teachers were trained, including 1054 non-georgian language teacher.
</t>
    </r>
    <r>
      <rPr>
        <b/>
        <sz val="12"/>
        <rFont val="Franklin Gothic Book"/>
        <family val="2"/>
        <scheme val="minor"/>
      </rPr>
      <t>Increase qualification of school directors</t>
    </r>
    <r>
      <rPr>
        <sz val="12"/>
        <rFont val="Franklin Gothic Book"/>
        <family val="2"/>
        <scheme val="minor"/>
      </rPr>
      <t xml:space="preserve">
- The project "Leadership Academy 1"  and "Leadership Academy 2"  has been completed for public school directors and facilitators, in total 1872 directors and 1,794 facilitators passed it successfully, including 190 non-georgian language school directors and 196 non-georgian language facilitators.
</t>
    </r>
    <r>
      <rPr>
        <b/>
        <sz val="12"/>
        <rFont val="Franklin Gothic Book"/>
        <family val="2"/>
        <scheme val="minor"/>
      </rPr>
      <t>Promotion of higher education in the technical field  (ongoing)</t>
    </r>
    <r>
      <rPr>
        <sz val="12"/>
        <rFont val="Franklin Gothic Book"/>
        <family val="2"/>
        <scheme val="minor"/>
      </rPr>
      <t xml:space="preserve">
 Complete rehabilitation of lecture rooms and laboratories, equipping and arrangement of new laboratories of San Diego State University (SDSU) partner universities of Georgia have been implemented.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</si>
</sst>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199">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30" xfId="1" applyNumberFormat="1" applyFont="1" applyFill="1" applyBorder="1" applyAlignment="1" applyProtection="1">
      <alignment horizontal="left" vertical="center" wrapText="1"/>
      <protection locked="0"/>
    </xf>
    <xf numFmtId="49" fontId="7" fillId="0" borderId="33"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5" fontId="7" fillId="0" borderId="40" xfId="1" applyNumberFormat="1" applyFont="1" applyFill="1" applyBorder="1" applyAlignment="1">
      <alignment horizontal="center" vertical="center" wrapText="1"/>
    </xf>
    <xf numFmtId="164" fontId="7" fillId="0" borderId="40"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cell r="I95">
            <v>8404.1088099999997</v>
          </cell>
          <cell r="J95">
            <v>5812.4800500000001</v>
          </cell>
          <cell r="K95">
            <v>3982325.3633949999</v>
          </cell>
          <cell r="L95">
            <v>480733.68703140004</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8"/>
  <sheetViews>
    <sheetView showGridLines="0" tabSelected="1" view="pageBreakPreview" topLeftCell="C38" zoomScale="80" zoomScaleNormal="60" zoomScaleSheetLayoutView="80" zoomScalePageLayoutView="40" workbookViewId="0">
      <selection activeCell="M49" sqref="M49"/>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60.75" customHeight="1">
      <c r="A2" s="15" t="s">
        <v>117</v>
      </c>
      <c r="B2" s="16"/>
      <c r="C2" s="16"/>
      <c r="D2" s="15"/>
      <c r="E2" s="15"/>
      <c r="F2" s="15"/>
      <c r="G2" s="15"/>
      <c r="H2" s="15"/>
      <c r="I2" s="15"/>
      <c r="J2" s="15"/>
      <c r="K2" s="17"/>
      <c r="L2" s="15"/>
      <c r="M2" s="81"/>
    </row>
    <row r="3" spans="1:13" ht="27" customHeight="1" thickBot="1">
      <c r="A3" s="18" t="s">
        <v>137</v>
      </c>
      <c r="B3" s="19"/>
      <c r="C3" s="19"/>
      <c r="D3" s="20"/>
      <c r="E3" s="20"/>
      <c r="F3" s="20"/>
      <c r="G3" s="20"/>
      <c r="H3" s="20"/>
      <c r="I3" s="20"/>
      <c r="J3" s="20"/>
      <c r="K3" s="20"/>
      <c r="L3" s="20"/>
    </row>
    <row r="4" spans="1:13" s="6" customFormat="1" ht="58.9" customHeight="1">
      <c r="A4" s="174" t="s">
        <v>9</v>
      </c>
      <c r="B4" s="171" t="s">
        <v>69</v>
      </c>
      <c r="C4" s="171" t="s">
        <v>30</v>
      </c>
      <c r="D4" s="166" t="s">
        <v>29</v>
      </c>
      <c r="E4" s="166"/>
      <c r="F4" s="173"/>
      <c r="G4" s="165" t="s">
        <v>138</v>
      </c>
      <c r="H4" s="166"/>
      <c r="I4" s="165" t="s">
        <v>139</v>
      </c>
      <c r="J4" s="166"/>
      <c r="K4" s="164" t="s">
        <v>57</v>
      </c>
      <c r="L4" s="165"/>
      <c r="M4" s="159" t="s">
        <v>31</v>
      </c>
    </row>
    <row r="5" spans="1:13" s="6" customFormat="1" ht="60" customHeight="1" thickBot="1">
      <c r="A5" s="175"/>
      <c r="B5" s="172"/>
      <c r="C5" s="172"/>
      <c r="D5" s="176" t="s">
        <v>19</v>
      </c>
      <c r="E5" s="177"/>
      <c r="F5" s="178"/>
      <c r="G5" s="162" t="s">
        <v>6</v>
      </c>
      <c r="H5" s="163"/>
      <c r="I5" s="162" t="s">
        <v>6</v>
      </c>
      <c r="J5" s="163"/>
      <c r="K5" s="162" t="s">
        <v>6</v>
      </c>
      <c r="L5" s="163"/>
      <c r="M5" s="160"/>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179" t="s">
        <v>24</v>
      </c>
      <c r="B7" s="180"/>
      <c r="C7" s="180"/>
      <c r="D7" s="180"/>
      <c r="E7" s="180"/>
      <c r="F7" s="181"/>
      <c r="G7" s="24">
        <f t="shared" ref="G7:L7" si="0">SUM(G8:G35)</f>
        <v>680550</v>
      </c>
      <c r="H7" s="24">
        <f t="shared" si="0"/>
        <v>8050</v>
      </c>
      <c r="I7" s="24">
        <f t="shared" si="0"/>
        <v>244.65883999999997</v>
      </c>
      <c r="J7" s="24">
        <f t="shared" si="0"/>
        <v>16.259139999999999</v>
      </c>
      <c r="K7" s="24">
        <f t="shared" si="0"/>
        <v>2002743.5690299999</v>
      </c>
      <c r="L7" s="24">
        <f t="shared" si="0"/>
        <v>31012.108479999999</v>
      </c>
      <c r="M7" s="83"/>
    </row>
    <row r="8" spans="1:13" ht="48" customHeight="1">
      <c r="A8" s="169" t="s">
        <v>54</v>
      </c>
      <c r="B8" s="182">
        <v>41431</v>
      </c>
      <c r="C8" s="192">
        <v>43524</v>
      </c>
      <c r="D8" s="25" t="s">
        <v>0</v>
      </c>
      <c r="E8" s="25">
        <v>24500</v>
      </c>
      <c r="F8" s="153"/>
      <c r="G8" s="153">
        <v>4000</v>
      </c>
      <c r="H8" s="157"/>
      <c r="I8" s="153">
        <v>33.2273</v>
      </c>
      <c r="J8" s="194"/>
      <c r="K8" s="153">
        <f>148859.28356+I8</f>
        <v>148892.51086000001</v>
      </c>
      <c r="L8" s="153"/>
      <c r="M8" s="161" t="s">
        <v>150</v>
      </c>
    </row>
    <row r="9" spans="1:13" ht="63.75" customHeight="1">
      <c r="A9" s="133"/>
      <c r="B9" s="135"/>
      <c r="C9" s="193"/>
      <c r="D9" s="26" t="s">
        <v>1</v>
      </c>
      <c r="E9" s="26">
        <v>38000</v>
      </c>
      <c r="F9" s="136"/>
      <c r="G9" s="136"/>
      <c r="H9" s="137"/>
      <c r="I9" s="136"/>
      <c r="J9" s="141"/>
      <c r="K9" s="136"/>
      <c r="L9" s="136"/>
      <c r="M9" s="132"/>
    </row>
    <row r="10" spans="1:13" s="9" customFormat="1" ht="57.75" customHeight="1">
      <c r="A10" s="133" t="s">
        <v>46</v>
      </c>
      <c r="B10" s="135">
        <v>42410</v>
      </c>
      <c r="C10" s="135">
        <v>44196</v>
      </c>
      <c r="D10" s="26" t="s">
        <v>1</v>
      </c>
      <c r="E10" s="26">
        <v>140000</v>
      </c>
      <c r="F10" s="26"/>
      <c r="G10" s="136">
        <v>55225</v>
      </c>
      <c r="H10" s="137"/>
      <c r="I10" s="136">
        <v>7</v>
      </c>
      <c r="J10" s="141"/>
      <c r="K10" s="136">
        <f>102576.23686+I10</f>
        <v>102583.23686</v>
      </c>
      <c r="L10" s="136"/>
      <c r="M10" s="132" t="s">
        <v>151</v>
      </c>
    </row>
    <row r="11" spans="1:13" s="9" customFormat="1" ht="56.25" customHeight="1">
      <c r="A11" s="133"/>
      <c r="B11" s="135"/>
      <c r="C11" s="135"/>
      <c r="D11" s="26" t="s">
        <v>4</v>
      </c>
      <c r="E11" s="26">
        <v>49450</v>
      </c>
      <c r="F11" s="26"/>
      <c r="G11" s="136"/>
      <c r="H11" s="137"/>
      <c r="I11" s="136"/>
      <c r="J11" s="141"/>
      <c r="K11" s="136"/>
      <c r="L11" s="136"/>
      <c r="M11" s="132"/>
    </row>
    <row r="12" spans="1:13" ht="25.15" customHeight="1">
      <c r="A12" s="133" t="s">
        <v>56</v>
      </c>
      <c r="B12" s="135">
        <v>40115</v>
      </c>
      <c r="C12" s="135">
        <v>43737</v>
      </c>
      <c r="D12" s="26" t="s">
        <v>0</v>
      </c>
      <c r="E12" s="26">
        <v>75892</v>
      </c>
      <c r="F12" s="136"/>
      <c r="G12" s="136">
        <v>4000</v>
      </c>
      <c r="H12" s="137"/>
      <c r="I12" s="136">
        <v>37.57602</v>
      </c>
      <c r="J12" s="136"/>
      <c r="K12" s="136">
        <f>372829.86217+I12</f>
        <v>372867.43818999996</v>
      </c>
      <c r="L12" s="136"/>
      <c r="M12" s="132" t="s">
        <v>116</v>
      </c>
    </row>
    <row r="13" spans="1:13" ht="21" customHeight="1">
      <c r="A13" s="133"/>
      <c r="B13" s="135"/>
      <c r="C13" s="135"/>
      <c r="D13" s="26" t="s">
        <v>2</v>
      </c>
      <c r="E13" s="26">
        <v>140000</v>
      </c>
      <c r="F13" s="136"/>
      <c r="G13" s="136"/>
      <c r="H13" s="137"/>
      <c r="I13" s="136"/>
      <c r="J13" s="136"/>
      <c r="K13" s="136"/>
      <c r="L13" s="136"/>
      <c r="M13" s="132"/>
    </row>
    <row r="14" spans="1:13" s="9" customFormat="1" ht="24" customHeight="1">
      <c r="A14" s="148" t="s">
        <v>55</v>
      </c>
      <c r="B14" s="183" t="s">
        <v>71</v>
      </c>
      <c r="C14" s="183" t="s">
        <v>72</v>
      </c>
      <c r="D14" s="49" t="s">
        <v>4</v>
      </c>
      <c r="E14" s="49">
        <v>108190</v>
      </c>
      <c r="F14" s="145"/>
      <c r="G14" s="145">
        <v>56000</v>
      </c>
      <c r="H14" s="151"/>
      <c r="I14" s="151"/>
      <c r="J14" s="145"/>
      <c r="K14" s="145">
        <f>61088.39635+I14</f>
        <v>61088.396350000003</v>
      </c>
      <c r="L14" s="145"/>
      <c r="M14" s="197" t="s">
        <v>118</v>
      </c>
    </row>
    <row r="15" spans="1:13" s="9" customFormat="1" ht="24.6" customHeight="1">
      <c r="A15" s="149"/>
      <c r="B15" s="184"/>
      <c r="C15" s="184"/>
      <c r="D15" s="49" t="s">
        <v>1</v>
      </c>
      <c r="E15" s="49">
        <v>114000</v>
      </c>
      <c r="F15" s="147"/>
      <c r="G15" s="147"/>
      <c r="H15" s="152"/>
      <c r="I15" s="152"/>
      <c r="J15" s="147"/>
      <c r="K15" s="147"/>
      <c r="L15" s="147"/>
      <c r="M15" s="198"/>
    </row>
    <row r="16" spans="1:13" ht="79.5" customHeight="1">
      <c r="A16" s="50" t="s">
        <v>20</v>
      </c>
      <c r="B16" s="14">
        <v>40163</v>
      </c>
      <c r="C16" s="28">
        <v>45101</v>
      </c>
      <c r="D16" s="26" t="s">
        <v>3</v>
      </c>
      <c r="E16" s="26">
        <v>22132000</v>
      </c>
      <c r="F16" s="26"/>
      <c r="G16" s="109">
        <v>1600</v>
      </c>
      <c r="H16" s="111"/>
      <c r="I16" s="109"/>
      <c r="J16" s="109"/>
      <c r="K16" s="109">
        <f>395400.05161+I16</f>
        <v>395400.05161000002</v>
      </c>
      <c r="L16" s="109"/>
      <c r="M16" s="80" t="s">
        <v>152</v>
      </c>
    </row>
    <row r="17" spans="1:18" ht="69" customHeight="1">
      <c r="A17" s="50" t="s">
        <v>37</v>
      </c>
      <c r="B17" s="14">
        <v>41040</v>
      </c>
      <c r="C17" s="14">
        <v>43797</v>
      </c>
      <c r="D17" s="26" t="s">
        <v>4</v>
      </c>
      <c r="E17" s="26">
        <v>200000</v>
      </c>
      <c r="F17" s="26">
        <v>20000</v>
      </c>
      <c r="G17" s="109">
        <v>52300</v>
      </c>
      <c r="H17" s="111">
        <v>8050</v>
      </c>
      <c r="I17" s="109">
        <v>119.23354</v>
      </c>
      <c r="J17" s="109">
        <v>16.259139999999999</v>
      </c>
      <c r="K17" s="109">
        <f>299698.79166+I17</f>
        <v>299818.02519999997</v>
      </c>
      <c r="L17" s="109">
        <f>30995.84934+J17</f>
        <v>31012.108479999999</v>
      </c>
      <c r="M17" s="80" t="s">
        <v>153</v>
      </c>
    </row>
    <row r="18" spans="1:18" s="9" customFormat="1" ht="41.25" customHeight="1">
      <c r="A18" s="185" t="s">
        <v>87</v>
      </c>
      <c r="B18" s="73" t="s">
        <v>113</v>
      </c>
      <c r="C18" s="73" t="s">
        <v>114</v>
      </c>
      <c r="D18" s="74" t="s">
        <v>4</v>
      </c>
      <c r="E18" s="74">
        <v>16000</v>
      </c>
      <c r="F18" s="74"/>
      <c r="G18" s="145">
        <v>45600</v>
      </c>
      <c r="H18" s="151"/>
      <c r="I18" s="145"/>
      <c r="J18" s="145"/>
      <c r="K18" s="145">
        <f>125.74445+I18</f>
        <v>125.74445</v>
      </c>
      <c r="L18" s="145"/>
      <c r="M18" s="197" t="s">
        <v>126</v>
      </c>
    </row>
    <row r="19" spans="1:18" s="9" customFormat="1" ht="24" customHeight="1">
      <c r="A19" s="186"/>
      <c r="B19" s="73"/>
      <c r="C19" s="73"/>
      <c r="D19" s="74"/>
      <c r="E19" s="74"/>
      <c r="F19" s="74"/>
      <c r="G19" s="147"/>
      <c r="H19" s="152"/>
      <c r="I19" s="147"/>
      <c r="J19" s="147"/>
      <c r="K19" s="147"/>
      <c r="L19" s="147"/>
      <c r="M19" s="198"/>
    </row>
    <row r="20" spans="1:18" s="9" customFormat="1" ht="48.6" customHeight="1">
      <c r="A20" s="75" t="s">
        <v>86</v>
      </c>
      <c r="B20" s="97">
        <v>43378</v>
      </c>
      <c r="C20" s="97">
        <v>45657</v>
      </c>
      <c r="D20" s="95" t="s">
        <v>4</v>
      </c>
      <c r="E20" s="95">
        <v>255.297</v>
      </c>
      <c r="F20" s="66"/>
      <c r="G20" s="109">
        <v>63550</v>
      </c>
      <c r="H20" s="66"/>
      <c r="I20" s="66"/>
      <c r="J20" s="66"/>
      <c r="K20" s="109">
        <f>113756.3746+I20</f>
        <v>113756.3746</v>
      </c>
      <c r="L20" s="66"/>
      <c r="M20" s="80" t="s">
        <v>124</v>
      </c>
    </row>
    <row r="21" spans="1:18" s="9" customFormat="1" ht="39" customHeight="1">
      <c r="A21" s="75" t="s">
        <v>85</v>
      </c>
      <c r="B21" s="183">
        <v>42652</v>
      </c>
      <c r="C21" s="183">
        <v>44539</v>
      </c>
      <c r="D21" s="151" t="s">
        <v>4</v>
      </c>
      <c r="E21" s="151">
        <v>250</v>
      </c>
      <c r="F21" s="66"/>
      <c r="G21" s="109">
        <v>96850</v>
      </c>
      <c r="H21" s="66"/>
      <c r="I21" s="66"/>
      <c r="J21" s="66"/>
      <c r="K21" s="109">
        <f>201682.00984+I21</f>
        <v>201682.00984000001</v>
      </c>
      <c r="L21" s="66"/>
      <c r="M21" s="80" t="s">
        <v>119</v>
      </c>
    </row>
    <row r="22" spans="1:18" s="9" customFormat="1" ht="49.5" customHeight="1">
      <c r="A22" s="75" t="s">
        <v>84</v>
      </c>
      <c r="B22" s="195"/>
      <c r="C22" s="195"/>
      <c r="D22" s="196"/>
      <c r="E22" s="196"/>
      <c r="F22" s="66"/>
      <c r="G22" s="109">
        <v>48850</v>
      </c>
      <c r="H22" s="66"/>
      <c r="I22" s="66"/>
      <c r="J22" s="66"/>
      <c r="K22" s="109"/>
      <c r="L22" s="66"/>
      <c r="M22" s="80" t="s">
        <v>154</v>
      </c>
    </row>
    <row r="23" spans="1:18" s="9" customFormat="1" ht="48" customHeight="1">
      <c r="A23" s="75" t="s">
        <v>83</v>
      </c>
      <c r="B23" s="184"/>
      <c r="C23" s="184"/>
      <c r="D23" s="152"/>
      <c r="E23" s="152"/>
      <c r="F23" s="66"/>
      <c r="G23" s="109">
        <v>48700</v>
      </c>
      <c r="H23" s="66"/>
      <c r="I23" s="66"/>
      <c r="J23" s="66"/>
      <c r="K23" s="109">
        <f>20357.40381+I23</f>
        <v>20357.40381</v>
      </c>
      <c r="L23" s="66"/>
      <c r="M23" s="80" t="s">
        <v>125</v>
      </c>
    </row>
    <row r="24" spans="1:18" s="9" customFormat="1" ht="34.5" hidden="1" customHeight="1">
      <c r="A24" s="75" t="s">
        <v>82</v>
      </c>
      <c r="B24" s="65"/>
      <c r="C24" s="65"/>
      <c r="D24" s="66"/>
      <c r="E24" s="66"/>
      <c r="F24" s="66"/>
      <c r="G24" s="94"/>
      <c r="H24" s="66"/>
      <c r="I24" s="66"/>
      <c r="J24" s="66"/>
      <c r="K24" s="94"/>
      <c r="L24" s="66"/>
      <c r="M24" s="80" t="s">
        <v>120</v>
      </c>
    </row>
    <row r="25" spans="1:18" s="9" customFormat="1" ht="38.25" hidden="1" customHeight="1">
      <c r="A25" s="75" t="s">
        <v>78</v>
      </c>
      <c r="B25" s="65"/>
      <c r="C25" s="65"/>
      <c r="D25" s="66"/>
      <c r="E25" s="66"/>
      <c r="F25" s="66"/>
      <c r="G25" s="94"/>
      <c r="H25" s="66"/>
      <c r="I25" s="66"/>
      <c r="J25" s="66"/>
      <c r="K25" s="94"/>
      <c r="L25" s="66"/>
      <c r="M25" s="80" t="s">
        <v>89</v>
      </c>
    </row>
    <row r="26" spans="1:18" s="9" customFormat="1" ht="77.25" customHeight="1">
      <c r="A26" s="75" t="s">
        <v>88</v>
      </c>
      <c r="B26" s="65"/>
      <c r="C26" s="65"/>
      <c r="D26" s="66"/>
      <c r="E26" s="66"/>
      <c r="F26" s="66"/>
      <c r="G26" s="109">
        <v>122275</v>
      </c>
      <c r="H26" s="66"/>
      <c r="I26" s="66"/>
      <c r="J26" s="66"/>
      <c r="K26" s="109"/>
      <c r="L26" s="66"/>
      <c r="M26" s="80" t="s">
        <v>155</v>
      </c>
    </row>
    <row r="27" spans="1:18" s="9" customFormat="1" ht="53.25" customHeight="1">
      <c r="A27" s="75" t="s">
        <v>79</v>
      </c>
      <c r="B27" s="65"/>
      <c r="C27" s="65"/>
      <c r="D27" s="66"/>
      <c r="E27" s="66"/>
      <c r="F27" s="66"/>
      <c r="G27" s="94"/>
      <c r="H27" s="66"/>
      <c r="I27" s="66"/>
      <c r="J27" s="66"/>
      <c r="K27" s="94"/>
      <c r="L27" s="66"/>
      <c r="M27" s="80" t="s">
        <v>156</v>
      </c>
    </row>
    <row r="28" spans="1:18" s="9" customFormat="1" ht="34.5" customHeight="1">
      <c r="A28" s="75" t="s">
        <v>81</v>
      </c>
      <c r="B28" s="65"/>
      <c r="C28" s="65"/>
      <c r="D28" s="66"/>
      <c r="E28" s="66"/>
      <c r="F28" s="66"/>
      <c r="G28" s="94"/>
      <c r="H28" s="66"/>
      <c r="I28" s="66"/>
      <c r="J28" s="66"/>
      <c r="K28" s="94"/>
      <c r="L28" s="66"/>
      <c r="M28" s="80" t="s">
        <v>157</v>
      </c>
    </row>
    <row r="29" spans="1:18" s="3" customFormat="1" ht="28.5" customHeight="1">
      <c r="A29" s="170" t="s">
        <v>13</v>
      </c>
      <c r="B29" s="150">
        <v>40990</v>
      </c>
      <c r="C29" s="150">
        <v>43646</v>
      </c>
      <c r="D29" s="72" t="s">
        <v>0</v>
      </c>
      <c r="E29" s="72">
        <v>25800</v>
      </c>
      <c r="F29" s="136"/>
      <c r="G29" s="136">
        <v>2300</v>
      </c>
      <c r="H29" s="137"/>
      <c r="I29" s="136">
        <v>4.5</v>
      </c>
      <c r="J29" s="141"/>
      <c r="K29" s="136">
        <f>126586.68242+I29</f>
        <v>126591.18242</v>
      </c>
      <c r="L29" s="136"/>
      <c r="M29" s="132" t="s">
        <v>121</v>
      </c>
      <c r="N29" s="1"/>
      <c r="O29" s="1"/>
      <c r="P29" s="1"/>
      <c r="Q29" s="1"/>
      <c r="R29" s="1"/>
    </row>
    <row r="30" spans="1:18" s="3" customFormat="1" ht="19.899999999999999" customHeight="1">
      <c r="A30" s="170"/>
      <c r="B30" s="150"/>
      <c r="C30" s="150"/>
      <c r="D30" s="72" t="s">
        <v>1</v>
      </c>
      <c r="E30" s="72">
        <v>30000</v>
      </c>
      <c r="F30" s="136"/>
      <c r="G30" s="136"/>
      <c r="H30" s="137"/>
      <c r="I30" s="136"/>
      <c r="J30" s="141"/>
      <c r="K30" s="136"/>
      <c r="L30" s="136"/>
      <c r="M30" s="132"/>
      <c r="N30" s="1"/>
      <c r="O30" s="1"/>
      <c r="P30" s="1"/>
      <c r="Q30" s="1"/>
      <c r="R30" s="1"/>
    </row>
    <row r="31" spans="1:18" s="3" customFormat="1" ht="68.25" customHeight="1">
      <c r="A31" s="60" t="s">
        <v>66</v>
      </c>
      <c r="B31" s="48">
        <v>41829</v>
      </c>
      <c r="C31" s="48">
        <v>44012</v>
      </c>
      <c r="D31" s="72" t="s">
        <v>1</v>
      </c>
      <c r="E31" s="72">
        <v>75000</v>
      </c>
      <c r="F31" s="26"/>
      <c r="G31" s="109">
        <v>32000</v>
      </c>
      <c r="H31" s="111"/>
      <c r="I31" s="109">
        <v>18.620480000000001</v>
      </c>
      <c r="J31" s="109"/>
      <c r="K31" s="109">
        <f>111232.66285+I31</f>
        <v>111251.28332999999</v>
      </c>
      <c r="L31" s="109"/>
      <c r="M31" s="80" t="s">
        <v>158</v>
      </c>
      <c r="N31" s="1"/>
      <c r="O31" s="1"/>
      <c r="P31" s="1"/>
      <c r="Q31" s="1"/>
      <c r="R31" s="1"/>
    </row>
    <row r="32" spans="1:18" s="3" customFormat="1" ht="97.5" customHeight="1">
      <c r="A32" s="60" t="s">
        <v>48</v>
      </c>
      <c r="B32" s="48">
        <v>42457</v>
      </c>
      <c r="C32" s="48">
        <v>44561</v>
      </c>
      <c r="D32" s="72" t="s">
        <v>1</v>
      </c>
      <c r="E32" s="72">
        <v>40000</v>
      </c>
      <c r="F32" s="26"/>
      <c r="G32" s="109">
        <v>20000</v>
      </c>
      <c r="H32" s="111"/>
      <c r="I32" s="109"/>
      <c r="J32" s="109"/>
      <c r="K32" s="109">
        <f>31603.92074+I32</f>
        <v>31603.920740000001</v>
      </c>
      <c r="L32" s="109"/>
      <c r="M32" s="80" t="s">
        <v>122</v>
      </c>
      <c r="N32" s="1"/>
      <c r="O32" s="1"/>
      <c r="P32" s="1"/>
      <c r="Q32" s="1"/>
      <c r="R32" s="1"/>
    </row>
    <row r="33" spans="1:18" s="3" customFormat="1" ht="69.599999999999994" customHeight="1">
      <c r="A33" s="75" t="s">
        <v>80</v>
      </c>
      <c r="B33" s="48" t="s">
        <v>74</v>
      </c>
      <c r="C33" s="48" t="s">
        <v>159</v>
      </c>
      <c r="D33" s="72" t="s">
        <v>1</v>
      </c>
      <c r="E33" s="72">
        <v>80000</v>
      </c>
      <c r="F33" s="69"/>
      <c r="G33" s="111">
        <v>15400</v>
      </c>
      <c r="H33" s="111"/>
      <c r="I33" s="111">
        <v>4.6386000000000003</v>
      </c>
      <c r="J33" s="111"/>
      <c r="K33" s="109">
        <f>15769.12805+I33</f>
        <v>15773.76665</v>
      </c>
      <c r="L33" s="111"/>
      <c r="M33" s="80" t="s">
        <v>127</v>
      </c>
      <c r="N33" s="92"/>
      <c r="O33" s="1"/>
      <c r="P33" s="1"/>
      <c r="Q33" s="1"/>
      <c r="R33" s="1"/>
    </row>
    <row r="34" spans="1:18" s="3" customFormat="1" ht="46.5" customHeight="1">
      <c r="A34" s="56" t="s">
        <v>44</v>
      </c>
      <c r="B34" s="14">
        <v>42752</v>
      </c>
      <c r="C34" s="14">
        <v>44196</v>
      </c>
      <c r="D34" s="26" t="s">
        <v>43</v>
      </c>
      <c r="E34" s="26">
        <v>8000</v>
      </c>
      <c r="F34" s="26"/>
      <c r="G34" s="109">
        <v>9200</v>
      </c>
      <c r="H34" s="111"/>
      <c r="I34" s="109">
        <v>19.8629</v>
      </c>
      <c r="J34" s="109"/>
      <c r="K34" s="109">
        <f>795.30622+I34</f>
        <v>815.16912000000002</v>
      </c>
      <c r="L34" s="109"/>
      <c r="M34" s="80" t="s">
        <v>123</v>
      </c>
      <c r="N34" s="1"/>
      <c r="O34" s="1"/>
      <c r="P34" s="1"/>
      <c r="Q34" s="1"/>
      <c r="R34" s="1"/>
    </row>
    <row r="35" spans="1:18" s="3" customFormat="1" ht="55.5" customHeight="1">
      <c r="A35" s="127" t="s">
        <v>45</v>
      </c>
      <c r="B35" s="128">
        <v>42734</v>
      </c>
      <c r="C35" s="128">
        <v>43830</v>
      </c>
      <c r="D35" s="129" t="s">
        <v>4</v>
      </c>
      <c r="E35" s="129">
        <v>6000</v>
      </c>
      <c r="F35" s="129"/>
      <c r="G35" s="129">
        <v>2700</v>
      </c>
      <c r="H35" s="130"/>
      <c r="I35" s="129"/>
      <c r="J35" s="129"/>
      <c r="K35" s="129">
        <f>137.055+I35</f>
        <v>137.05500000000001</v>
      </c>
      <c r="L35" s="129"/>
      <c r="M35" s="131" t="s">
        <v>128</v>
      </c>
      <c r="N35" s="1"/>
      <c r="O35" s="1"/>
      <c r="P35" s="1"/>
      <c r="Q35" s="1"/>
      <c r="R35" s="1"/>
    </row>
    <row r="36" spans="1:18" s="7" customFormat="1" ht="30" customHeight="1" thickBot="1">
      <c r="A36" s="138" t="s">
        <v>7</v>
      </c>
      <c r="B36" s="139"/>
      <c r="C36" s="139"/>
      <c r="D36" s="139"/>
      <c r="E36" s="139"/>
      <c r="F36" s="140"/>
      <c r="G36" s="38">
        <f>SUM(G37:G52)</f>
        <v>211480</v>
      </c>
      <c r="H36" s="38">
        <f t="shared" ref="H36:L36" si="1">SUM(H37:H52)</f>
        <v>7100</v>
      </c>
      <c r="I36" s="38">
        <f t="shared" si="1"/>
        <v>1582.0615600000001</v>
      </c>
      <c r="J36" s="38">
        <f t="shared" si="1"/>
        <v>2.0592000000000001</v>
      </c>
      <c r="K36" s="38">
        <f t="shared" si="1"/>
        <v>742159.33147999994</v>
      </c>
      <c r="L36" s="38">
        <f t="shared" si="1"/>
        <v>14891.085129999999</v>
      </c>
      <c r="M36" s="87"/>
    </row>
    <row r="37" spans="1:18" ht="50.25" customHeight="1">
      <c r="A37" s="55" t="s">
        <v>22</v>
      </c>
      <c r="B37" s="57">
        <v>41869</v>
      </c>
      <c r="C37" s="57">
        <v>43646</v>
      </c>
      <c r="D37" s="54" t="s">
        <v>1</v>
      </c>
      <c r="E37" s="54">
        <v>30000</v>
      </c>
      <c r="F37" s="54">
        <v>5000</v>
      </c>
      <c r="G37" s="32">
        <v>8800</v>
      </c>
      <c r="H37" s="67">
        <v>3600</v>
      </c>
      <c r="I37" s="32">
        <v>435.64422999999999</v>
      </c>
      <c r="J37" s="67">
        <v>2.0592000000000001</v>
      </c>
      <c r="K37" s="32">
        <f>42550.40846+I37</f>
        <v>42986.052689999997</v>
      </c>
      <c r="L37" s="32">
        <f>4758.74569+J37</f>
        <v>4760.8048899999994</v>
      </c>
      <c r="M37" s="85" t="s">
        <v>92</v>
      </c>
    </row>
    <row r="38" spans="1:18" ht="47.25" customHeight="1">
      <c r="A38" s="56" t="s">
        <v>14</v>
      </c>
      <c r="B38" s="51">
        <v>40227</v>
      </c>
      <c r="C38" s="28">
        <v>43465</v>
      </c>
      <c r="D38" s="52" t="s">
        <v>4</v>
      </c>
      <c r="E38" s="52">
        <v>3000</v>
      </c>
      <c r="F38" s="52"/>
      <c r="G38" s="117">
        <v>3000</v>
      </c>
      <c r="H38" s="119"/>
      <c r="I38" s="117"/>
      <c r="J38" s="117"/>
      <c r="K38" s="117">
        <f>74.757+I38</f>
        <v>74.757000000000005</v>
      </c>
      <c r="L38" s="117"/>
      <c r="M38" s="80" t="s">
        <v>93</v>
      </c>
    </row>
    <row r="39" spans="1:18" ht="71.25" customHeight="1">
      <c r="A39" s="56" t="s">
        <v>38</v>
      </c>
      <c r="B39" s="51">
        <v>41621</v>
      </c>
      <c r="C39" s="51">
        <v>43465</v>
      </c>
      <c r="D39" s="52" t="s">
        <v>4</v>
      </c>
      <c r="E39" s="52">
        <v>20000</v>
      </c>
      <c r="F39" s="52">
        <v>2000</v>
      </c>
      <c r="G39" s="117">
        <v>15000</v>
      </c>
      <c r="H39" s="119">
        <v>1000</v>
      </c>
      <c r="I39" s="117"/>
      <c r="J39" s="117"/>
      <c r="K39" s="33">
        <f>7439.85874+I39</f>
        <v>7439.8587399999997</v>
      </c>
      <c r="L39" s="117">
        <f>4849.88963+J39</f>
        <v>4849.8896299999997</v>
      </c>
      <c r="M39" s="80" t="s">
        <v>160</v>
      </c>
    </row>
    <row r="40" spans="1:18" ht="69.75" customHeight="1">
      <c r="A40" s="191" t="s">
        <v>67</v>
      </c>
      <c r="B40" s="135">
        <v>40350</v>
      </c>
      <c r="C40" s="135">
        <v>44030</v>
      </c>
      <c r="D40" s="52" t="s">
        <v>0</v>
      </c>
      <c r="E40" s="52">
        <f>57986+10639</f>
        <v>68625</v>
      </c>
      <c r="F40" s="136"/>
      <c r="G40" s="167">
        <v>59650</v>
      </c>
      <c r="H40" s="168"/>
      <c r="I40" s="167">
        <v>56.692230000000002</v>
      </c>
      <c r="J40" s="167"/>
      <c r="K40" s="167">
        <f>358756.19854+I40</f>
        <v>358812.89077</v>
      </c>
      <c r="L40" s="167"/>
      <c r="M40" s="132" t="s">
        <v>161</v>
      </c>
    </row>
    <row r="41" spans="1:18" ht="105" customHeight="1">
      <c r="A41" s="191"/>
      <c r="B41" s="135"/>
      <c r="C41" s="135"/>
      <c r="D41" s="52" t="s">
        <v>1</v>
      </c>
      <c r="E41" s="52">
        <f>48886+73000+20000</f>
        <v>141886</v>
      </c>
      <c r="F41" s="136"/>
      <c r="G41" s="167"/>
      <c r="H41" s="168"/>
      <c r="I41" s="167"/>
      <c r="J41" s="167"/>
      <c r="K41" s="167"/>
      <c r="L41" s="167"/>
      <c r="M41" s="132"/>
    </row>
    <row r="42" spans="1:18" ht="79.5" customHeight="1">
      <c r="A42" s="58" t="s">
        <v>49</v>
      </c>
      <c r="B42" s="51">
        <v>40996</v>
      </c>
      <c r="C42" s="51">
        <v>43403</v>
      </c>
      <c r="D42" s="52" t="s">
        <v>1</v>
      </c>
      <c r="E42" s="52">
        <v>60000</v>
      </c>
      <c r="F42" s="52"/>
      <c r="G42" s="117">
        <v>30</v>
      </c>
      <c r="H42" s="119"/>
      <c r="I42" s="117"/>
      <c r="J42" s="34"/>
      <c r="K42" s="117">
        <f>102881.35442+I42</f>
        <v>102881.35442</v>
      </c>
      <c r="L42" s="117"/>
      <c r="M42" s="80" t="s">
        <v>94</v>
      </c>
    </row>
    <row r="43" spans="1:18" ht="27.6" customHeight="1">
      <c r="A43" s="191" t="s">
        <v>15</v>
      </c>
      <c r="B43" s="135">
        <v>41222</v>
      </c>
      <c r="C43" s="135">
        <v>43830</v>
      </c>
      <c r="D43" s="52" t="s">
        <v>0</v>
      </c>
      <c r="E43" s="52">
        <v>19800</v>
      </c>
      <c r="F43" s="52"/>
      <c r="G43" s="167">
        <v>8500</v>
      </c>
      <c r="H43" s="168"/>
      <c r="I43" s="167">
        <v>359.86912000000001</v>
      </c>
      <c r="J43" s="167"/>
      <c r="K43" s="167">
        <f>57667.72863+I43</f>
        <v>58027.597750000001</v>
      </c>
      <c r="L43" s="167"/>
      <c r="M43" s="132" t="s">
        <v>112</v>
      </c>
    </row>
    <row r="44" spans="1:18" ht="35.25" customHeight="1">
      <c r="A44" s="191"/>
      <c r="B44" s="135"/>
      <c r="C44" s="135"/>
      <c r="D44" s="52" t="s">
        <v>1</v>
      </c>
      <c r="E44" s="52">
        <v>9000</v>
      </c>
      <c r="F44" s="52"/>
      <c r="G44" s="167"/>
      <c r="H44" s="168"/>
      <c r="I44" s="167"/>
      <c r="J44" s="167"/>
      <c r="K44" s="167"/>
      <c r="L44" s="167"/>
      <c r="M44" s="132"/>
    </row>
    <row r="45" spans="1:18" ht="45.75" customHeight="1">
      <c r="A45" s="58" t="s">
        <v>33</v>
      </c>
      <c r="B45" s="51">
        <v>42223</v>
      </c>
      <c r="C45" s="51">
        <v>43830</v>
      </c>
      <c r="D45" s="52" t="s">
        <v>1</v>
      </c>
      <c r="E45" s="52">
        <v>60000</v>
      </c>
      <c r="F45" s="52"/>
      <c r="G45" s="117">
        <v>24000</v>
      </c>
      <c r="H45" s="119"/>
      <c r="I45" s="117">
        <v>46.665129999999998</v>
      </c>
      <c r="J45" s="117"/>
      <c r="K45" s="117">
        <f>31101.72865+I45</f>
        <v>31148.393780000002</v>
      </c>
      <c r="L45" s="117"/>
      <c r="M45" s="80" t="s">
        <v>95</v>
      </c>
    </row>
    <row r="46" spans="1:18" ht="47.25" customHeight="1">
      <c r="A46" s="56" t="s">
        <v>34</v>
      </c>
      <c r="B46" s="51">
        <v>42136</v>
      </c>
      <c r="C46" s="51">
        <v>43232</v>
      </c>
      <c r="D46" s="52" t="s">
        <v>4</v>
      </c>
      <c r="E46" s="52">
        <v>4300</v>
      </c>
      <c r="F46" s="52">
        <v>1843</v>
      </c>
      <c r="G46" s="117">
        <v>1000</v>
      </c>
      <c r="H46" s="119"/>
      <c r="I46" s="117"/>
      <c r="J46" s="117"/>
      <c r="K46" s="117">
        <f>119.7894+I46</f>
        <v>119.7894</v>
      </c>
      <c r="L46" s="117"/>
      <c r="M46" s="80" t="s">
        <v>96</v>
      </c>
    </row>
    <row r="47" spans="1:18" ht="53.25" customHeight="1">
      <c r="A47" s="56" t="s">
        <v>58</v>
      </c>
      <c r="B47" s="51">
        <v>42563</v>
      </c>
      <c r="C47" s="51">
        <v>43036</v>
      </c>
      <c r="D47" s="52" t="s">
        <v>4</v>
      </c>
      <c r="E47" s="52">
        <v>10000</v>
      </c>
      <c r="F47" s="52">
        <v>2000</v>
      </c>
      <c r="G47" s="117"/>
      <c r="H47" s="119">
        <v>500</v>
      </c>
      <c r="I47" s="117"/>
      <c r="J47" s="117"/>
      <c r="K47" s="117">
        <f>12332.76308+I47</f>
        <v>12332.763080000001</v>
      </c>
      <c r="L47" s="35">
        <f>5280.39061+J47</f>
        <v>5280.3906100000004</v>
      </c>
      <c r="M47" s="80" t="s">
        <v>97</v>
      </c>
    </row>
    <row r="48" spans="1:18" s="3" customFormat="1" ht="51" customHeight="1">
      <c r="A48" s="118" t="s">
        <v>140</v>
      </c>
      <c r="B48" s="122">
        <v>43285</v>
      </c>
      <c r="C48" s="123">
        <v>44016</v>
      </c>
      <c r="D48" s="117" t="s">
        <v>4</v>
      </c>
      <c r="E48" s="117">
        <v>2830</v>
      </c>
      <c r="F48" s="117">
        <v>1870</v>
      </c>
      <c r="G48" s="117">
        <v>3000</v>
      </c>
      <c r="H48" s="119">
        <v>1000</v>
      </c>
      <c r="I48" s="117"/>
      <c r="J48" s="34"/>
      <c r="K48" s="117"/>
      <c r="L48" s="117"/>
      <c r="M48" s="80" t="s">
        <v>149</v>
      </c>
      <c r="N48" s="1"/>
      <c r="O48" s="1"/>
      <c r="P48" s="1"/>
      <c r="Q48" s="1"/>
      <c r="R48" s="1"/>
    </row>
    <row r="49" spans="1:18" s="3" customFormat="1" ht="60" customHeight="1">
      <c r="A49" s="56" t="s">
        <v>41</v>
      </c>
      <c r="B49" s="51">
        <v>42411</v>
      </c>
      <c r="C49" s="51">
        <v>44238</v>
      </c>
      <c r="D49" s="52" t="s">
        <v>4</v>
      </c>
      <c r="E49" s="52">
        <v>100000</v>
      </c>
      <c r="F49" s="52"/>
      <c r="G49" s="117">
        <v>59500</v>
      </c>
      <c r="H49" s="119"/>
      <c r="I49" s="117">
        <v>683.19084999999995</v>
      </c>
      <c r="J49" s="117"/>
      <c r="K49" s="117">
        <f>127652.683+I49</f>
        <v>128335.87385</v>
      </c>
      <c r="L49" s="117"/>
      <c r="M49" s="80" t="s">
        <v>98</v>
      </c>
      <c r="N49" s="1"/>
      <c r="O49" s="1"/>
      <c r="P49" s="1"/>
      <c r="Q49" s="1"/>
      <c r="R49" s="1"/>
    </row>
    <row r="50" spans="1:18" s="3" customFormat="1" ht="69" customHeight="1">
      <c r="A50" s="116" t="s">
        <v>61</v>
      </c>
      <c r="B50" s="113">
        <v>42713</v>
      </c>
      <c r="C50" s="113">
        <v>44561</v>
      </c>
      <c r="D50" s="109" t="s">
        <v>4</v>
      </c>
      <c r="E50" s="109">
        <v>100000</v>
      </c>
      <c r="F50" s="109"/>
      <c r="G50" s="117">
        <v>8000</v>
      </c>
      <c r="H50" s="119"/>
      <c r="I50" s="117"/>
      <c r="J50" s="117"/>
      <c r="K50" s="117"/>
      <c r="L50" s="117"/>
      <c r="M50" s="121" t="s">
        <v>162</v>
      </c>
      <c r="N50" s="1"/>
      <c r="O50" s="1"/>
      <c r="P50" s="1"/>
      <c r="Q50" s="1"/>
      <c r="R50" s="1"/>
    </row>
    <row r="51" spans="1:18" s="3" customFormat="1" ht="41.25" customHeight="1">
      <c r="A51" s="116" t="s">
        <v>141</v>
      </c>
      <c r="B51" s="122">
        <v>43035</v>
      </c>
      <c r="C51" s="122">
        <v>44925</v>
      </c>
      <c r="D51" s="117" t="s">
        <v>4</v>
      </c>
      <c r="E51" s="117">
        <v>30000</v>
      </c>
      <c r="F51" s="117">
        <v>2000</v>
      </c>
      <c r="G51" s="117">
        <v>1000</v>
      </c>
      <c r="H51" s="119">
        <v>1000</v>
      </c>
      <c r="I51" s="117"/>
      <c r="J51" s="117"/>
      <c r="K51" s="117"/>
      <c r="L51" s="117"/>
      <c r="M51" s="121" t="s">
        <v>145</v>
      </c>
      <c r="N51" s="1"/>
      <c r="O51" s="1"/>
      <c r="P51" s="1"/>
      <c r="Q51" s="1"/>
      <c r="R51" s="1"/>
    </row>
    <row r="52" spans="1:18" s="3" customFormat="1" ht="92.25" customHeight="1" thickBot="1">
      <c r="A52" s="116" t="s">
        <v>142</v>
      </c>
      <c r="B52" s="124">
        <v>27.112017999999999</v>
      </c>
      <c r="C52" s="124">
        <v>27.112020999999999</v>
      </c>
      <c r="D52" s="62" t="s">
        <v>4</v>
      </c>
      <c r="E52" s="62">
        <v>15000</v>
      </c>
      <c r="F52" s="62"/>
      <c r="G52" s="62">
        <v>20000</v>
      </c>
      <c r="H52" s="70"/>
      <c r="I52" s="62"/>
      <c r="J52" s="62"/>
      <c r="K52" s="63"/>
      <c r="L52" s="62"/>
      <c r="M52" s="121" t="s">
        <v>146</v>
      </c>
      <c r="N52" s="1"/>
      <c r="O52" s="1"/>
      <c r="P52" s="1"/>
      <c r="Q52" s="1"/>
      <c r="R52" s="1"/>
    </row>
    <row r="53" spans="1:18" s="7" customFormat="1" ht="23.25" customHeight="1" thickBot="1">
      <c r="A53" s="188" t="s">
        <v>8</v>
      </c>
      <c r="B53" s="189"/>
      <c r="C53" s="189"/>
      <c r="D53" s="189"/>
      <c r="E53" s="189"/>
      <c r="F53" s="190"/>
      <c r="G53" s="36">
        <f>SUM(G54:G61)</f>
        <v>156290</v>
      </c>
      <c r="H53" s="36">
        <f t="shared" ref="H53:L53" si="2">SUM(H54:H61)</f>
        <v>11695</v>
      </c>
      <c r="I53" s="36">
        <f>SUM(I54:I61)</f>
        <v>4050.1532800000004</v>
      </c>
      <c r="J53" s="36">
        <f t="shared" si="2"/>
        <v>347.08537999999999</v>
      </c>
      <c r="K53" s="36">
        <f t="shared" si="2"/>
        <v>671423.62786400004</v>
      </c>
      <c r="L53" s="36">
        <f t="shared" si="2"/>
        <v>97967.507470000011</v>
      </c>
      <c r="M53" s="86"/>
    </row>
    <row r="54" spans="1:18" ht="42.75" customHeight="1">
      <c r="A54" s="55" t="s">
        <v>62</v>
      </c>
      <c r="B54" s="57">
        <v>39626</v>
      </c>
      <c r="C54" s="57">
        <v>43373</v>
      </c>
      <c r="D54" s="54" t="s">
        <v>4</v>
      </c>
      <c r="E54" s="54">
        <v>3700</v>
      </c>
      <c r="F54" s="54">
        <v>1814</v>
      </c>
      <c r="G54" s="108">
        <v>1500</v>
      </c>
      <c r="H54" s="110"/>
      <c r="I54" s="108"/>
      <c r="J54" s="115"/>
      <c r="K54" s="108">
        <f>6580.461404+I54</f>
        <v>6580.4614039999997</v>
      </c>
      <c r="L54" s="108">
        <f>3649.68102+J54</f>
        <v>3649.68102</v>
      </c>
      <c r="M54" s="85" t="s">
        <v>99</v>
      </c>
    </row>
    <row r="55" spans="1:18" ht="183.6" customHeight="1">
      <c r="A55" s="134" t="s">
        <v>51</v>
      </c>
      <c r="B55" s="135">
        <v>40673</v>
      </c>
      <c r="C55" s="135">
        <v>43738</v>
      </c>
      <c r="D55" s="52" t="s">
        <v>0</v>
      </c>
      <c r="E55" s="52">
        <f>51343+25047+64205+23005</f>
        <v>163600</v>
      </c>
      <c r="F55" s="136"/>
      <c r="G55" s="136">
        <v>122700</v>
      </c>
      <c r="H55" s="137"/>
      <c r="I55" s="136">
        <v>3397.1961500000002</v>
      </c>
      <c r="J55" s="141"/>
      <c r="K55" s="136">
        <f>491362.10463+I55</f>
        <v>494759.30077999999</v>
      </c>
      <c r="L55" s="136"/>
      <c r="M55" s="132" t="s">
        <v>163</v>
      </c>
    </row>
    <row r="56" spans="1:18" ht="201.6" customHeight="1">
      <c r="A56" s="134"/>
      <c r="B56" s="135"/>
      <c r="C56" s="135"/>
      <c r="D56" s="52" t="s">
        <v>1</v>
      </c>
      <c r="E56" s="52">
        <f>108000+43000+99000</f>
        <v>250000</v>
      </c>
      <c r="F56" s="136"/>
      <c r="G56" s="136"/>
      <c r="H56" s="137"/>
      <c r="I56" s="136"/>
      <c r="J56" s="141"/>
      <c r="K56" s="136"/>
      <c r="L56" s="136"/>
      <c r="M56" s="132"/>
    </row>
    <row r="57" spans="1:18" ht="54.75" customHeight="1">
      <c r="A57" s="78" t="s">
        <v>77</v>
      </c>
      <c r="B57" s="77" t="s">
        <v>75</v>
      </c>
      <c r="C57" s="77" t="s">
        <v>76</v>
      </c>
      <c r="D57" s="74" t="s">
        <v>4</v>
      </c>
      <c r="E57" s="76">
        <v>100</v>
      </c>
      <c r="F57" s="76"/>
      <c r="G57" s="109"/>
      <c r="H57" s="111">
        <v>2500</v>
      </c>
      <c r="I57" s="66"/>
      <c r="J57" s="89"/>
      <c r="K57" s="109">
        <f>35.07802+I57</f>
        <v>35.078020000000002</v>
      </c>
      <c r="L57" s="66"/>
      <c r="M57" s="80" t="s">
        <v>164</v>
      </c>
    </row>
    <row r="58" spans="1:18" ht="135.75" customHeight="1">
      <c r="A58" s="56" t="s">
        <v>50</v>
      </c>
      <c r="B58" s="51">
        <v>40773</v>
      </c>
      <c r="C58" s="51">
        <v>43830</v>
      </c>
      <c r="D58" s="53" t="s">
        <v>4</v>
      </c>
      <c r="E58" s="53">
        <f>2988.339+4000+20000</f>
        <v>26988.339</v>
      </c>
      <c r="F58" s="53">
        <f>4500+6728.536+9000+4000+7000</f>
        <v>31228.536</v>
      </c>
      <c r="G58" s="109">
        <v>18400</v>
      </c>
      <c r="H58" s="111">
        <v>2850</v>
      </c>
      <c r="I58" s="114"/>
      <c r="J58" s="114"/>
      <c r="K58" s="109">
        <f>46200.7648+I58</f>
        <v>46200.764799999997</v>
      </c>
      <c r="L58" s="114">
        <f>57507.50654+J58</f>
        <v>57507.506540000002</v>
      </c>
      <c r="M58" s="80" t="s">
        <v>100</v>
      </c>
    </row>
    <row r="59" spans="1:18" ht="32.450000000000003" customHeight="1">
      <c r="A59" s="56" t="s">
        <v>47</v>
      </c>
      <c r="B59" s="51">
        <v>42360</v>
      </c>
      <c r="C59" s="51">
        <v>44012</v>
      </c>
      <c r="D59" s="52" t="s">
        <v>4</v>
      </c>
      <c r="E59" s="52">
        <v>30000</v>
      </c>
      <c r="F59" s="52">
        <v>2000</v>
      </c>
      <c r="G59" s="109">
        <v>9690</v>
      </c>
      <c r="H59" s="111">
        <v>4345</v>
      </c>
      <c r="I59" s="109"/>
      <c r="J59" s="109"/>
      <c r="K59" s="109">
        <f>34681.49112+I59</f>
        <v>34681.491119999999</v>
      </c>
      <c r="L59" s="109">
        <f>3499.04143+J59</f>
        <v>3499.0414300000002</v>
      </c>
      <c r="M59" s="80" t="s">
        <v>101</v>
      </c>
    </row>
    <row r="60" spans="1:18" ht="33" customHeight="1">
      <c r="A60" s="56" t="s">
        <v>59</v>
      </c>
      <c r="B60" s="51">
        <v>41506</v>
      </c>
      <c r="C60" s="28">
        <v>43332</v>
      </c>
      <c r="D60" s="52" t="s">
        <v>4</v>
      </c>
      <c r="E60" s="52">
        <v>40000</v>
      </c>
      <c r="F60" s="52">
        <v>8000</v>
      </c>
      <c r="G60" s="109">
        <v>4000</v>
      </c>
      <c r="H60" s="111">
        <v>700</v>
      </c>
      <c r="I60" s="109">
        <v>652.95713000000001</v>
      </c>
      <c r="J60" s="114">
        <v>347.08537999999999</v>
      </c>
      <c r="K60" s="109">
        <f>88513.57461+I60</f>
        <v>89166.531739999991</v>
      </c>
      <c r="L60" s="109">
        <f>17820.5113+J60</f>
        <v>18167.596679999999</v>
      </c>
      <c r="M60" s="80" t="s">
        <v>102</v>
      </c>
    </row>
    <row r="61" spans="1:18" ht="36" customHeight="1" thickBot="1">
      <c r="A61" s="29" t="s">
        <v>52</v>
      </c>
      <c r="B61" s="30">
        <v>41480</v>
      </c>
      <c r="C61" s="30">
        <v>43889</v>
      </c>
      <c r="D61" s="31" t="s">
        <v>1</v>
      </c>
      <c r="E61" s="31"/>
      <c r="F61" s="31">
        <v>10052.155000000001</v>
      </c>
      <c r="G61" s="31"/>
      <c r="H61" s="68">
        <v>1300</v>
      </c>
      <c r="I61" s="31"/>
      <c r="J61" s="37"/>
      <c r="K61" s="31"/>
      <c r="L61" s="31">
        <f>15143.6818+J61</f>
        <v>15143.6818</v>
      </c>
      <c r="M61" s="84" t="s">
        <v>73</v>
      </c>
    </row>
    <row r="62" spans="1:18" s="7" customFormat="1" ht="30" customHeight="1" thickBot="1">
      <c r="A62" s="138" t="s">
        <v>25</v>
      </c>
      <c r="B62" s="139"/>
      <c r="C62" s="139"/>
      <c r="D62" s="139"/>
      <c r="E62" s="139"/>
      <c r="F62" s="140"/>
      <c r="G62" s="38">
        <f>SUM(G63:G74)</f>
        <v>86600</v>
      </c>
      <c r="H62" s="38">
        <f t="shared" ref="H62:L62" si="3">SUM(H63:H74)</f>
        <v>14000</v>
      </c>
      <c r="I62" s="38">
        <f t="shared" si="3"/>
        <v>1391.0420900000001</v>
      </c>
      <c r="J62" s="38">
        <f t="shared" si="3"/>
        <v>0</v>
      </c>
      <c r="K62" s="38">
        <f t="shared" si="3"/>
        <v>259594.767655</v>
      </c>
      <c r="L62" s="38">
        <f t="shared" si="3"/>
        <v>20950.680079999998</v>
      </c>
      <c r="M62" s="87"/>
    </row>
    <row r="63" spans="1:18" ht="79.5" customHeight="1">
      <c r="A63" s="90" t="s">
        <v>90</v>
      </c>
      <c r="B63" s="91">
        <v>43105</v>
      </c>
      <c r="C63" s="91" t="s">
        <v>91</v>
      </c>
      <c r="D63" s="79" t="s">
        <v>4</v>
      </c>
      <c r="E63" s="79">
        <v>28000</v>
      </c>
      <c r="F63" s="79">
        <v>7000</v>
      </c>
      <c r="G63" s="108">
        <v>15000</v>
      </c>
      <c r="H63" s="110">
        <v>10000</v>
      </c>
      <c r="I63" s="108">
        <v>238.38191</v>
      </c>
      <c r="J63" s="71"/>
      <c r="K63" s="108">
        <f>2588.27771+I63</f>
        <v>2826.6596199999999</v>
      </c>
      <c r="L63" s="108"/>
      <c r="M63" s="85" t="s">
        <v>115</v>
      </c>
    </row>
    <row r="64" spans="1:18" ht="34.9" customHeight="1">
      <c r="A64" s="58" t="s">
        <v>39</v>
      </c>
      <c r="B64" s="142">
        <v>41572</v>
      </c>
      <c r="C64" s="142">
        <v>43463</v>
      </c>
      <c r="D64" s="145" t="s">
        <v>4</v>
      </c>
      <c r="E64" s="145">
        <f>25200+35000</f>
        <v>60200</v>
      </c>
      <c r="F64" s="52">
        <v>8000</v>
      </c>
      <c r="G64" s="109">
        <v>6400</v>
      </c>
      <c r="H64" s="111"/>
      <c r="I64" s="109"/>
      <c r="J64" s="109"/>
      <c r="K64" s="109">
        <f>92412.661955+I64</f>
        <v>92412.661955000003</v>
      </c>
      <c r="L64" s="109">
        <v>20950.680079999998</v>
      </c>
      <c r="M64" s="132" t="s">
        <v>103</v>
      </c>
    </row>
    <row r="65" spans="1:13" ht="31.9" customHeight="1">
      <c r="A65" s="58" t="s">
        <v>60</v>
      </c>
      <c r="B65" s="143"/>
      <c r="C65" s="143"/>
      <c r="D65" s="146"/>
      <c r="E65" s="146"/>
      <c r="F65" s="52"/>
      <c r="G65" s="109">
        <v>4700</v>
      </c>
      <c r="H65" s="111"/>
      <c r="I65" s="109">
        <v>1152.6601800000001</v>
      </c>
      <c r="J65" s="109"/>
      <c r="K65" s="109">
        <f>45219.89027+I65</f>
        <v>46372.550450000002</v>
      </c>
      <c r="L65" s="109"/>
      <c r="M65" s="132"/>
    </row>
    <row r="66" spans="1:13" ht="25.15" customHeight="1">
      <c r="A66" s="56" t="s">
        <v>63</v>
      </c>
      <c r="B66" s="144"/>
      <c r="C66" s="144"/>
      <c r="D66" s="147"/>
      <c r="E66" s="147"/>
      <c r="F66" s="52"/>
      <c r="G66" s="94"/>
      <c r="H66" s="95"/>
      <c r="I66" s="94"/>
      <c r="J66" s="96"/>
      <c r="K66" s="94">
        <f>5120.67471+I66</f>
        <v>5120.6747100000002</v>
      </c>
      <c r="L66" s="94"/>
      <c r="M66" s="80" t="s">
        <v>104</v>
      </c>
    </row>
    <row r="67" spans="1:13" ht="84" customHeight="1">
      <c r="A67" s="101" t="s">
        <v>129</v>
      </c>
      <c r="B67" s="103">
        <v>42838</v>
      </c>
      <c r="C67" s="103">
        <v>44742</v>
      </c>
      <c r="D67" s="100" t="s">
        <v>4</v>
      </c>
      <c r="E67" s="100">
        <v>125000</v>
      </c>
      <c r="F67" s="98"/>
      <c r="G67" s="109">
        <v>5000</v>
      </c>
      <c r="H67" s="111">
        <v>4000</v>
      </c>
      <c r="I67" s="109"/>
      <c r="J67" s="114"/>
      <c r="K67" s="109"/>
      <c r="L67" s="109"/>
      <c r="M67" s="102" t="s">
        <v>143</v>
      </c>
    </row>
    <row r="68" spans="1:13" ht="83.25" customHeight="1">
      <c r="A68" s="56" t="s">
        <v>40</v>
      </c>
      <c r="B68" s="135">
        <v>41885</v>
      </c>
      <c r="C68" s="135">
        <v>43555</v>
      </c>
      <c r="D68" s="52" t="s">
        <v>1</v>
      </c>
      <c r="E68" s="136">
        <v>60000</v>
      </c>
      <c r="F68" s="52"/>
      <c r="G68" s="109">
        <v>10000</v>
      </c>
      <c r="H68" s="111"/>
      <c r="I68" s="109"/>
      <c r="J68" s="114"/>
      <c r="K68" s="109">
        <f>112430.30228+I68</f>
        <v>112430.30228</v>
      </c>
      <c r="L68" s="94"/>
      <c r="M68" s="80" t="s">
        <v>105</v>
      </c>
    </row>
    <row r="69" spans="1:13" ht="51" customHeight="1">
      <c r="A69" s="56" t="s">
        <v>64</v>
      </c>
      <c r="B69" s="135"/>
      <c r="C69" s="135"/>
      <c r="D69" s="52" t="s">
        <v>1</v>
      </c>
      <c r="E69" s="158"/>
      <c r="F69" s="52"/>
      <c r="G69" s="109"/>
      <c r="H69" s="111"/>
      <c r="I69" s="109"/>
      <c r="J69" s="114"/>
      <c r="K69" s="109">
        <f>431.91864+I69</f>
        <v>431.91863999999998</v>
      </c>
      <c r="L69" s="94"/>
      <c r="M69" s="80" t="s">
        <v>106</v>
      </c>
    </row>
    <row r="70" spans="1:13" ht="152.25" customHeight="1">
      <c r="A70" s="101" t="s">
        <v>130</v>
      </c>
      <c r="B70" s="99"/>
      <c r="C70" s="99"/>
      <c r="D70" s="125" t="s">
        <v>4</v>
      </c>
      <c r="E70" s="109"/>
      <c r="F70" s="109"/>
      <c r="G70" s="109">
        <v>13500</v>
      </c>
      <c r="H70" s="111"/>
      <c r="I70" s="109"/>
      <c r="J70" s="114"/>
      <c r="K70" s="109"/>
      <c r="L70" s="98"/>
      <c r="M70" s="102" t="s">
        <v>131</v>
      </c>
    </row>
    <row r="71" spans="1:13" ht="66.75" customHeight="1">
      <c r="A71" s="101" t="s">
        <v>132</v>
      </c>
      <c r="B71" s="99"/>
      <c r="C71" s="99"/>
      <c r="D71" s="125" t="s">
        <v>1</v>
      </c>
      <c r="E71" s="109"/>
      <c r="F71" s="109"/>
      <c r="G71" s="109">
        <v>9000</v>
      </c>
      <c r="H71" s="111"/>
      <c r="I71" s="109"/>
      <c r="J71" s="114"/>
      <c r="K71" s="109"/>
      <c r="L71" s="99"/>
      <c r="M71" s="102" t="s">
        <v>133</v>
      </c>
    </row>
    <row r="72" spans="1:13" ht="113.25" customHeight="1">
      <c r="A72" s="101" t="s">
        <v>134</v>
      </c>
      <c r="B72" s="99"/>
      <c r="C72" s="99"/>
      <c r="D72" s="125" t="s">
        <v>4</v>
      </c>
      <c r="E72" s="109"/>
      <c r="F72" s="109"/>
      <c r="G72" s="109">
        <v>4500</v>
      </c>
      <c r="H72" s="111"/>
      <c r="I72" s="109"/>
      <c r="J72" s="114"/>
      <c r="K72" s="109"/>
      <c r="L72" s="99"/>
      <c r="M72" s="102" t="s">
        <v>135</v>
      </c>
    </row>
    <row r="73" spans="1:13" ht="33" customHeight="1">
      <c r="A73" s="120" t="s">
        <v>147</v>
      </c>
      <c r="B73" s="113"/>
      <c r="C73" s="28"/>
      <c r="D73" s="125" t="s">
        <v>4</v>
      </c>
      <c r="E73" s="109"/>
      <c r="F73" s="109"/>
      <c r="G73" s="109">
        <v>9500</v>
      </c>
      <c r="H73" s="111"/>
      <c r="I73" s="109"/>
      <c r="J73" s="114"/>
      <c r="K73" s="109"/>
      <c r="L73" s="111"/>
      <c r="M73" s="121" t="s">
        <v>149</v>
      </c>
    </row>
    <row r="74" spans="1:13" ht="40.5" customHeight="1" thickBot="1">
      <c r="A74" s="120" t="s">
        <v>148</v>
      </c>
      <c r="B74" s="113"/>
      <c r="C74" s="28"/>
      <c r="D74" s="125" t="s">
        <v>4</v>
      </c>
      <c r="E74" s="109"/>
      <c r="F74" s="109"/>
      <c r="G74" s="109">
        <v>9000</v>
      </c>
      <c r="H74" s="111"/>
      <c r="I74" s="109"/>
      <c r="J74" s="114"/>
      <c r="K74" s="109"/>
      <c r="L74" s="111"/>
      <c r="M74" s="121" t="s">
        <v>149</v>
      </c>
    </row>
    <row r="75" spans="1:13" s="7" customFormat="1" ht="55.5" customHeight="1" thickBot="1">
      <c r="A75" s="188" t="s">
        <v>26</v>
      </c>
      <c r="B75" s="189"/>
      <c r="C75" s="189"/>
      <c r="D75" s="189"/>
      <c r="E75" s="189"/>
      <c r="F75" s="190"/>
      <c r="G75" s="36">
        <f>G76+G79+G80</f>
        <v>19830</v>
      </c>
      <c r="H75" s="36">
        <f>SUM(H76:H81)</f>
        <v>4310</v>
      </c>
      <c r="I75" s="36">
        <f>SUM(I76:I81)</f>
        <v>654.10402999999997</v>
      </c>
      <c r="J75" s="36">
        <f>SUM(J76:J81)</f>
        <v>290.22904</v>
      </c>
      <c r="K75" s="36">
        <f>SUM(K76:K81)</f>
        <v>66499.64319599999</v>
      </c>
      <c r="L75" s="36">
        <f>SUM(L76:L81)</f>
        <v>6893.7125799999994</v>
      </c>
      <c r="M75" s="86"/>
    </row>
    <row r="76" spans="1:13" ht="102.75" customHeight="1">
      <c r="A76" s="156" t="s">
        <v>18</v>
      </c>
      <c r="B76" s="39">
        <v>42052</v>
      </c>
      <c r="C76" s="40">
        <v>43513</v>
      </c>
      <c r="D76" s="54" t="s">
        <v>0</v>
      </c>
      <c r="E76" s="54">
        <v>8610</v>
      </c>
      <c r="F76" s="54"/>
      <c r="G76" s="153">
        <v>6730</v>
      </c>
      <c r="H76" s="157">
        <v>4070</v>
      </c>
      <c r="I76" s="153">
        <v>389.52134999999998</v>
      </c>
      <c r="J76" s="153">
        <v>290.22904</v>
      </c>
      <c r="K76" s="153">
        <f>16279.05301+I76</f>
        <v>16668.574359999999</v>
      </c>
      <c r="L76" s="153">
        <f>6102.55654+J76</f>
        <v>6392.7855799999998</v>
      </c>
      <c r="M76" s="154" t="s">
        <v>165</v>
      </c>
    </row>
    <row r="77" spans="1:13" ht="77.45" customHeight="1">
      <c r="A77" s="134"/>
      <c r="B77" s="28">
        <v>41978</v>
      </c>
      <c r="C77" s="41">
        <v>42735</v>
      </c>
      <c r="D77" s="52" t="s">
        <v>1</v>
      </c>
      <c r="E77" s="52"/>
      <c r="F77" s="52">
        <v>500</v>
      </c>
      <c r="G77" s="136"/>
      <c r="H77" s="137"/>
      <c r="I77" s="136"/>
      <c r="J77" s="136"/>
      <c r="K77" s="136"/>
      <c r="L77" s="136"/>
      <c r="M77" s="155"/>
    </row>
    <row r="78" spans="1:13" ht="119.25" customHeight="1">
      <c r="A78" s="134"/>
      <c r="B78" s="28">
        <v>42052</v>
      </c>
      <c r="C78" s="42">
        <v>43513</v>
      </c>
      <c r="D78" s="52" t="s">
        <v>1</v>
      </c>
      <c r="E78" s="52"/>
      <c r="F78" s="52">
        <v>5300</v>
      </c>
      <c r="G78" s="136"/>
      <c r="H78" s="137"/>
      <c r="I78" s="136"/>
      <c r="J78" s="136"/>
      <c r="K78" s="136"/>
      <c r="L78" s="136"/>
      <c r="M78" s="155"/>
    </row>
    <row r="79" spans="1:13" ht="66" customHeight="1">
      <c r="A79" s="134" t="s">
        <v>17</v>
      </c>
      <c r="B79" s="135">
        <v>41964</v>
      </c>
      <c r="C79" s="135">
        <v>44408</v>
      </c>
      <c r="D79" s="141" t="s">
        <v>0</v>
      </c>
      <c r="E79" s="136">
        <v>32400</v>
      </c>
      <c r="F79" s="136"/>
      <c r="G79" s="109">
        <v>11000</v>
      </c>
      <c r="H79" s="109"/>
      <c r="I79" s="109">
        <v>78.82114</v>
      </c>
      <c r="J79" s="114"/>
      <c r="K79" s="109">
        <f>45181.823066+I79</f>
        <v>45260.644205999997</v>
      </c>
      <c r="L79" s="109"/>
      <c r="M79" s="88" t="s">
        <v>107</v>
      </c>
    </row>
    <row r="80" spans="1:13" ht="49.5" customHeight="1">
      <c r="A80" s="134"/>
      <c r="B80" s="135"/>
      <c r="C80" s="135"/>
      <c r="D80" s="141"/>
      <c r="E80" s="136"/>
      <c r="F80" s="136"/>
      <c r="G80" s="109">
        <v>2100</v>
      </c>
      <c r="H80" s="109"/>
      <c r="I80" s="109">
        <v>185.76154</v>
      </c>
      <c r="J80" s="114"/>
      <c r="K80" s="109">
        <f>4384.66309+I80</f>
        <v>4570.4246300000004</v>
      </c>
      <c r="L80" s="109"/>
      <c r="M80" s="80" t="s">
        <v>108</v>
      </c>
    </row>
    <row r="81" spans="1:13" ht="75" customHeight="1" thickBot="1">
      <c r="A81" s="29" t="s">
        <v>21</v>
      </c>
      <c r="B81" s="30">
        <v>41946</v>
      </c>
      <c r="C81" s="43">
        <v>43190</v>
      </c>
      <c r="D81" s="37" t="s">
        <v>4</v>
      </c>
      <c r="E81" s="31"/>
      <c r="F81" s="31">
        <v>861</v>
      </c>
      <c r="G81" s="31"/>
      <c r="H81" s="68">
        <v>240</v>
      </c>
      <c r="I81" s="68"/>
      <c r="J81" s="31"/>
      <c r="K81" s="31"/>
      <c r="L81" s="31">
        <f>500.927+J81</f>
        <v>500.92700000000002</v>
      </c>
      <c r="M81" s="84" t="s">
        <v>166</v>
      </c>
    </row>
    <row r="82" spans="1:13" s="7" customFormat="1" ht="29.25" customHeight="1" thickBot="1">
      <c r="A82" s="138" t="s">
        <v>27</v>
      </c>
      <c r="B82" s="139"/>
      <c r="C82" s="139"/>
      <c r="D82" s="139"/>
      <c r="E82" s="139"/>
      <c r="F82" s="140"/>
      <c r="G82" s="38">
        <f t="shared" ref="G82:L82" si="4">SUM(G83:G84)</f>
        <v>0</v>
      </c>
      <c r="H82" s="38">
        <f t="shared" si="4"/>
        <v>4645</v>
      </c>
      <c r="I82" s="38">
        <f t="shared" si="4"/>
        <v>0</v>
      </c>
      <c r="J82" s="38">
        <f t="shared" si="4"/>
        <v>0</v>
      </c>
      <c r="K82" s="38">
        <f t="shared" si="4"/>
        <v>0</v>
      </c>
      <c r="L82" s="38">
        <f t="shared" si="4"/>
        <v>22062.834009999999</v>
      </c>
      <c r="M82" s="87"/>
    </row>
    <row r="83" spans="1:13" ht="162.75" customHeight="1">
      <c r="A83" s="55" t="s">
        <v>23</v>
      </c>
      <c r="B83" s="39">
        <v>40119</v>
      </c>
      <c r="C83" s="57">
        <v>43465</v>
      </c>
      <c r="D83" s="54" t="s">
        <v>4</v>
      </c>
      <c r="E83" s="54"/>
      <c r="F83" s="64">
        <v>2267</v>
      </c>
      <c r="G83" s="64"/>
      <c r="H83" s="110">
        <v>1345</v>
      </c>
      <c r="I83" s="108"/>
      <c r="J83" s="115"/>
      <c r="K83" s="108"/>
      <c r="L83" s="108">
        <f>6077.20889+J83</f>
        <v>6077.2088899999999</v>
      </c>
      <c r="M83" s="85" t="s">
        <v>109</v>
      </c>
    </row>
    <row r="84" spans="1:13" ht="182.25" customHeight="1" thickBot="1">
      <c r="A84" s="29" t="s">
        <v>16</v>
      </c>
      <c r="B84" s="43">
        <v>40589</v>
      </c>
      <c r="C84" s="43">
        <v>43100</v>
      </c>
      <c r="D84" s="37" t="s">
        <v>4</v>
      </c>
      <c r="E84" s="31"/>
      <c r="F84" s="31">
        <v>8250</v>
      </c>
      <c r="G84" s="31"/>
      <c r="H84" s="68">
        <v>3300</v>
      </c>
      <c r="I84" s="31"/>
      <c r="J84" s="31"/>
      <c r="K84" s="31"/>
      <c r="L84" s="31">
        <f>15985.62512+J84</f>
        <v>15985.625120000001</v>
      </c>
      <c r="M84" s="84" t="s">
        <v>110</v>
      </c>
    </row>
    <row r="85" spans="1:13" s="7" customFormat="1" ht="33" customHeight="1" thickBot="1">
      <c r="A85" s="188" t="s">
        <v>5</v>
      </c>
      <c r="B85" s="189"/>
      <c r="C85" s="189"/>
      <c r="D85" s="189"/>
      <c r="E85" s="189"/>
      <c r="F85" s="190"/>
      <c r="G85" s="36">
        <f t="shared" ref="G85:L85" si="5">SUM(G86:G91)</f>
        <v>146300</v>
      </c>
      <c r="H85" s="36">
        <f t="shared" si="5"/>
        <v>42900</v>
      </c>
      <c r="I85" s="36">
        <f t="shared" si="5"/>
        <v>482.08900999999997</v>
      </c>
      <c r="J85" s="36">
        <f t="shared" si="5"/>
        <v>5156.8472899999997</v>
      </c>
      <c r="K85" s="36">
        <f t="shared" si="5"/>
        <v>239904.42416999998</v>
      </c>
      <c r="L85" s="36">
        <f t="shared" si="5"/>
        <v>286955.75928140001</v>
      </c>
      <c r="M85" s="86"/>
    </row>
    <row r="86" spans="1:13" ht="279" customHeight="1">
      <c r="A86" s="55" t="s">
        <v>65</v>
      </c>
      <c r="B86" s="39">
        <v>41103</v>
      </c>
      <c r="C86" s="39">
        <v>43307</v>
      </c>
      <c r="D86" s="59" t="s">
        <v>1</v>
      </c>
      <c r="E86" s="54"/>
      <c r="F86" s="54">
        <f>140000+2700</f>
        <v>142700</v>
      </c>
      <c r="G86" s="93"/>
      <c r="H86" s="110">
        <v>38900</v>
      </c>
      <c r="I86" s="108"/>
      <c r="J86" s="115">
        <v>5156.8472899999997</v>
      </c>
      <c r="K86" s="108"/>
      <c r="L86" s="108">
        <f>281798.9119914+J86</f>
        <v>286955.75928140001</v>
      </c>
      <c r="M86" s="85" t="s">
        <v>168</v>
      </c>
    </row>
    <row r="87" spans="1:13" ht="90.75" customHeight="1">
      <c r="A87" s="104" t="s">
        <v>53</v>
      </c>
      <c r="B87" s="51">
        <v>42661</v>
      </c>
      <c r="C87" s="51">
        <v>44377</v>
      </c>
      <c r="D87" s="52" t="s">
        <v>4</v>
      </c>
      <c r="E87" s="52">
        <v>14000</v>
      </c>
      <c r="F87" s="52"/>
      <c r="G87" s="109">
        <v>1500</v>
      </c>
      <c r="H87" s="111">
        <v>1000</v>
      </c>
      <c r="I87" s="109"/>
      <c r="J87" s="109"/>
      <c r="K87" s="109"/>
      <c r="L87" s="27">
        <v>0</v>
      </c>
      <c r="M87" s="80" t="s">
        <v>111</v>
      </c>
    </row>
    <row r="88" spans="1:13" ht="63.75" customHeight="1">
      <c r="A88" s="60" t="s">
        <v>42</v>
      </c>
      <c r="B88" s="48">
        <v>42346</v>
      </c>
      <c r="C88" s="48">
        <v>43228</v>
      </c>
      <c r="D88" s="49" t="s">
        <v>4</v>
      </c>
      <c r="E88" s="49">
        <v>82821</v>
      </c>
      <c r="F88" s="52"/>
      <c r="G88" s="109">
        <v>55000</v>
      </c>
      <c r="H88" s="111"/>
      <c r="I88" s="109"/>
      <c r="J88" s="109"/>
      <c r="K88" s="109">
        <f>226048.34892+I88</f>
        <v>226048.34891999999</v>
      </c>
      <c r="L88" s="109"/>
      <c r="M88" s="80" t="s">
        <v>70</v>
      </c>
    </row>
    <row r="89" spans="1:13" ht="84" customHeight="1">
      <c r="A89" s="61" t="s">
        <v>68</v>
      </c>
      <c r="B89" s="48">
        <v>42929</v>
      </c>
      <c r="C89" s="48">
        <v>43830</v>
      </c>
      <c r="D89" s="49" t="s">
        <v>4</v>
      </c>
      <c r="E89" s="49">
        <v>5500</v>
      </c>
      <c r="F89" s="52">
        <v>1500</v>
      </c>
      <c r="G89" s="109">
        <v>4800</v>
      </c>
      <c r="H89" s="111">
        <v>3000</v>
      </c>
      <c r="I89" s="109"/>
      <c r="J89" s="109"/>
      <c r="K89" s="109">
        <f>8749.28036+I89</f>
        <v>8749.2803600000007</v>
      </c>
      <c r="L89" s="27">
        <v>0</v>
      </c>
      <c r="M89" s="80" t="s">
        <v>167</v>
      </c>
    </row>
    <row r="90" spans="1:13" ht="37.9" customHeight="1">
      <c r="A90" s="61" t="s">
        <v>144</v>
      </c>
      <c r="B90" s="105"/>
      <c r="C90" s="105"/>
      <c r="D90" s="106"/>
      <c r="E90" s="106"/>
      <c r="F90" s="112"/>
      <c r="G90" s="112">
        <v>75000</v>
      </c>
      <c r="H90" s="106"/>
      <c r="I90" s="112"/>
      <c r="J90" s="112"/>
      <c r="K90" s="126"/>
      <c r="L90" s="126"/>
      <c r="M90" s="107" t="s">
        <v>149</v>
      </c>
    </row>
    <row r="91" spans="1:13" s="9" customFormat="1" ht="103.5" customHeight="1" thickBot="1">
      <c r="A91" s="29" t="s">
        <v>35</v>
      </c>
      <c r="B91" s="43">
        <v>42457</v>
      </c>
      <c r="C91" s="43">
        <v>44316</v>
      </c>
      <c r="D91" s="37" t="s">
        <v>1</v>
      </c>
      <c r="E91" s="31">
        <v>40000</v>
      </c>
      <c r="F91" s="31"/>
      <c r="G91" s="31">
        <v>10000</v>
      </c>
      <c r="H91" s="68"/>
      <c r="I91" s="31">
        <v>482.08900999999997</v>
      </c>
      <c r="J91" s="31"/>
      <c r="K91" s="31">
        <f>4624.70588+I91</f>
        <v>5106.7948900000001</v>
      </c>
      <c r="L91" s="31"/>
      <c r="M91" s="84" t="s">
        <v>136</v>
      </c>
    </row>
    <row r="92" spans="1:13" s="6" customFormat="1" ht="40.5" customHeight="1" thickBot="1">
      <c r="A92" s="44"/>
      <c r="B92" s="45"/>
      <c r="C92" s="45"/>
      <c r="D92" s="46"/>
      <c r="E92" s="47"/>
      <c r="F92" s="38" t="s">
        <v>28</v>
      </c>
      <c r="G92" s="38">
        <f t="shared" ref="G92:L92" si="6">G85+G82+G75+G62+G53+G36+G7</f>
        <v>1301050</v>
      </c>
      <c r="H92" s="38">
        <f t="shared" si="6"/>
        <v>92700</v>
      </c>
      <c r="I92" s="38">
        <f t="shared" si="6"/>
        <v>8404.1088099999997</v>
      </c>
      <c r="J92" s="38">
        <f t="shared" si="6"/>
        <v>5812.4800500000001</v>
      </c>
      <c r="K92" s="38">
        <f t="shared" si="6"/>
        <v>3982325.3633949999</v>
      </c>
      <c r="L92" s="38">
        <f t="shared" si="6"/>
        <v>480733.68703140004</v>
      </c>
      <c r="M92" s="81"/>
    </row>
    <row r="93" spans="1:13" ht="7.15" customHeight="1">
      <c r="A93" s="10"/>
      <c r="B93" s="8"/>
      <c r="C93" s="8"/>
      <c r="D93" s="10"/>
      <c r="E93" s="10"/>
      <c r="F93" s="10"/>
      <c r="G93" s="10"/>
      <c r="H93" s="10"/>
      <c r="I93" s="10"/>
      <c r="J93" s="10"/>
      <c r="K93" s="10"/>
      <c r="L93" s="10"/>
    </row>
    <row r="94" spans="1:13" ht="24.75" customHeight="1">
      <c r="A94" s="187" t="s">
        <v>32</v>
      </c>
      <c r="B94" s="187"/>
      <c r="C94" s="187"/>
      <c r="D94" s="187"/>
      <c r="E94" s="187"/>
      <c r="F94" s="187"/>
      <c r="G94" s="187"/>
      <c r="H94" s="187"/>
      <c r="I94" s="187"/>
      <c r="J94" s="187"/>
      <c r="K94" s="187"/>
      <c r="L94" s="187"/>
    </row>
    <row r="95" spans="1:13" ht="24" customHeight="1">
      <c r="A95" s="1" t="s">
        <v>36</v>
      </c>
      <c r="B95" s="2"/>
      <c r="D95" s="1"/>
      <c r="E95" s="1"/>
      <c r="F95" s="1"/>
      <c r="H95" s="1"/>
      <c r="I95" s="1"/>
      <c r="J95" s="1"/>
      <c r="K95" s="1"/>
      <c r="L95" s="1"/>
    </row>
    <row r="96" spans="1:13">
      <c r="A96" s="1"/>
      <c r="B96" s="2"/>
      <c r="D96" s="1"/>
      <c r="E96" s="1"/>
      <c r="F96" s="1"/>
      <c r="H96" s="1"/>
      <c r="I96" s="1"/>
      <c r="J96" s="1"/>
      <c r="K96" s="1"/>
      <c r="L96" s="1"/>
    </row>
    <row r="97" spans="7:12" ht="39" customHeight="1">
      <c r="G97" s="11">
        <f>G92-'[1]For Website'!$G$95</f>
        <v>0</v>
      </c>
      <c r="H97" s="12">
        <f>H92-'[1]For Website'!$H$95</f>
        <v>0</v>
      </c>
      <c r="I97" s="12">
        <f>I92-'[1]For Website'!$I$95</f>
        <v>0</v>
      </c>
      <c r="J97" s="12">
        <f>J92-'[1]For Website'!$J$95</f>
        <v>0</v>
      </c>
      <c r="K97" s="12">
        <f>K92-'[1]For Website'!$K$95</f>
        <v>0</v>
      </c>
      <c r="L97" s="12">
        <f>L92-'[1]For Website'!$L$95</f>
        <v>0</v>
      </c>
    </row>
    <row r="98" spans="7:12" ht="21.75" customHeight="1">
      <c r="G98" s="11"/>
      <c r="H98" s="12"/>
      <c r="I98" s="12"/>
      <c r="J98" s="12"/>
      <c r="K98" s="12"/>
      <c r="L98" s="12"/>
    </row>
  </sheetData>
  <mergeCells count="140">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79:A80"/>
    <mergeCell ref="B79:B80"/>
    <mergeCell ref="C79:C80"/>
    <mergeCell ref="D79:D80"/>
    <mergeCell ref="E79:E80"/>
    <mergeCell ref="F79:F80"/>
    <mergeCell ref="A94:L94"/>
    <mergeCell ref="F40:F41"/>
    <mergeCell ref="A82:F82"/>
    <mergeCell ref="A85:F85"/>
    <mergeCell ref="J40:J41"/>
    <mergeCell ref="K40:K41"/>
    <mergeCell ref="A53:F53"/>
    <mergeCell ref="A62:F62"/>
    <mergeCell ref="A75:F75"/>
    <mergeCell ref="A40:A41"/>
    <mergeCell ref="B40:B41"/>
    <mergeCell ref="A43:A44"/>
    <mergeCell ref="B43:B44"/>
    <mergeCell ref="C43:C44"/>
    <mergeCell ref="G43:G44"/>
    <mergeCell ref="H43:H44"/>
    <mergeCell ref="I43:I44"/>
    <mergeCell ref="K76:K78"/>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5:M56"/>
    <mergeCell ref="J55:J56"/>
    <mergeCell ref="G55:G56"/>
    <mergeCell ref="I55:I56"/>
    <mergeCell ref="K55:K56"/>
    <mergeCell ref="L55:L56"/>
    <mergeCell ref="I5:J5"/>
    <mergeCell ref="K5:L5"/>
    <mergeCell ref="K4:L4"/>
    <mergeCell ref="I4:J4"/>
    <mergeCell ref="L40:L41"/>
    <mergeCell ref="M43:M44"/>
    <mergeCell ref="J43:J44"/>
    <mergeCell ref="K43:K44"/>
    <mergeCell ref="L43:L44"/>
    <mergeCell ref="I40:I41"/>
    <mergeCell ref="G40:G41"/>
    <mergeCell ref="H40:H41"/>
    <mergeCell ref="L76:L78"/>
    <mergeCell ref="M76:M78"/>
    <mergeCell ref="A76:A78"/>
    <mergeCell ref="G76:G78"/>
    <mergeCell ref="H76:H78"/>
    <mergeCell ref="I76:I78"/>
    <mergeCell ref="J76:J78"/>
    <mergeCell ref="B68:B69"/>
    <mergeCell ref="C68:C69"/>
    <mergeCell ref="E68:E69"/>
    <mergeCell ref="M64:M65"/>
    <mergeCell ref="A10:A11"/>
    <mergeCell ref="A55:A56"/>
    <mergeCell ref="B55:B56"/>
    <mergeCell ref="C55:C56"/>
    <mergeCell ref="F55:F56"/>
    <mergeCell ref="H55:H56"/>
    <mergeCell ref="C40:C41"/>
    <mergeCell ref="A36:F36"/>
    <mergeCell ref="L29:L30"/>
    <mergeCell ref="I12:I13"/>
    <mergeCell ref="K29:K30"/>
    <mergeCell ref="J29:J30"/>
    <mergeCell ref="B64:B66"/>
    <mergeCell ref="C64:C66"/>
    <mergeCell ref="D64:D66"/>
    <mergeCell ref="E64:E66"/>
    <mergeCell ref="A14:A15"/>
    <mergeCell ref="B29:B30"/>
    <mergeCell ref="F29:F30"/>
    <mergeCell ref="G29:G30"/>
    <mergeCell ref="H29:H30"/>
    <mergeCell ref="I29:I30"/>
    <mergeCell ref="I14:I15"/>
  </mergeCells>
  <printOptions horizontalCentered="1"/>
  <pageMargins left="0" right="0" top="0.39370078740157483" bottom="0.23622047244094491" header="0" footer="0"/>
  <pageSetup paperSize="9" scale="35" fitToHeight="0" orientation="landscape" r:id="rId1"/>
  <headerFooter alignWithMargins="0"/>
  <rowBreaks count="3" manualBreakCount="3">
    <brk id="35" max="16383" man="1"/>
    <brk id="56" max="12" man="1"/>
    <brk id="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2019-02-14T10:39:48Z</cp:lastPrinted>
  <dcterms:created xsi:type="dcterms:W3CDTF">2011-04-14T08:42:21Z</dcterms:created>
  <dcterms:modified xsi:type="dcterms:W3CDTF">2019-03-01T13:07:05Z</dcterms:modified>
</cp:coreProperties>
</file>