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"/>
    </mc:Choice>
  </mc:AlternateContent>
  <bookViews>
    <workbookView xWindow="11130" yWindow="2520" windowWidth="11190" windowHeight="9660" tabRatio="200"/>
  </bookViews>
  <sheets>
    <sheet name="For Website" sheetId="12" r:id="rId1"/>
  </sheets>
  <definedNames>
    <definedName name="_xlnm.Print_Area" localSheetId="0">'For Website'!$A$1:$N$98</definedName>
    <definedName name="_xlnm.Print_Titles" localSheetId="0">'For Website'!$A:$A,'For Website'!$4:$6</definedName>
  </definedNames>
  <calcPr calcId="162913"/>
</workbook>
</file>

<file path=xl/calcChain.xml><?xml version="1.0" encoding="utf-8"?>
<calcChain xmlns="http://schemas.openxmlformats.org/spreadsheetml/2006/main">
  <c r="J88" i="12" l="1"/>
  <c r="I88" i="12"/>
  <c r="H88" i="12"/>
  <c r="G88" i="12"/>
  <c r="L62" i="12" l="1"/>
  <c r="J62" i="12"/>
  <c r="I62" i="12"/>
  <c r="H62" i="12"/>
  <c r="G62" i="12"/>
  <c r="J53" i="12"/>
  <c r="I53" i="12"/>
  <c r="H53" i="12"/>
  <c r="G53" i="12"/>
  <c r="G36" i="12"/>
  <c r="L17" i="12" l="1"/>
  <c r="L37" i="12"/>
  <c r="K37" i="12"/>
  <c r="K38" i="12"/>
  <c r="L39" i="12"/>
  <c r="K39" i="12"/>
  <c r="K40" i="12"/>
  <c r="K42" i="12"/>
  <c r="K43" i="12"/>
  <c r="K45" i="12"/>
  <c r="K46" i="12"/>
  <c r="L47" i="12"/>
  <c r="K47" i="12"/>
  <c r="K49" i="12"/>
  <c r="L61" i="12"/>
  <c r="L60" i="12"/>
  <c r="K60" i="12"/>
  <c r="K59" i="12"/>
  <c r="L59" i="12"/>
  <c r="L58" i="12"/>
  <c r="K58" i="12"/>
  <c r="K57" i="12"/>
  <c r="K55" i="12"/>
  <c r="L54" i="12"/>
  <c r="K54" i="12"/>
  <c r="L84" i="12"/>
  <c r="K83" i="12"/>
  <c r="K82" i="12"/>
  <c r="L79" i="12"/>
  <c r="K79" i="12"/>
  <c r="L87" i="12"/>
  <c r="L86" i="12"/>
  <c r="K92" i="12"/>
  <c r="K91" i="12"/>
  <c r="L89" i="12"/>
  <c r="L88" i="12" s="1"/>
  <c r="K33" i="12"/>
  <c r="K23" i="12"/>
  <c r="K69" i="12"/>
  <c r="K68" i="12"/>
  <c r="K65" i="12"/>
  <c r="K64" i="12"/>
  <c r="K63" i="12"/>
  <c r="K94" i="12"/>
  <c r="K88" i="12" s="1"/>
  <c r="K35" i="12"/>
  <c r="K34" i="12"/>
  <c r="K32" i="12"/>
  <c r="K31" i="12"/>
  <c r="K29" i="12"/>
  <c r="K21" i="12"/>
  <c r="K20" i="12"/>
  <c r="K18" i="12"/>
  <c r="K17" i="12"/>
  <c r="K16" i="12"/>
  <c r="K14" i="12"/>
  <c r="K12" i="12"/>
  <c r="K10" i="12"/>
  <c r="K8" i="12"/>
  <c r="K62" i="12" l="1"/>
  <c r="K7" i="12"/>
  <c r="K53" i="12"/>
  <c r="L53" i="12"/>
  <c r="G7" i="12"/>
  <c r="H78" i="12" l="1"/>
  <c r="L78" i="12"/>
  <c r="K78" i="12"/>
  <c r="J78" i="12"/>
  <c r="I78" i="12"/>
  <c r="G78" i="12"/>
  <c r="K36" i="12"/>
  <c r="L36" i="12" l="1"/>
  <c r="J36" i="12"/>
  <c r="I36" i="12"/>
  <c r="H36" i="12"/>
  <c r="F58" i="12" l="1"/>
  <c r="E58" i="12"/>
  <c r="E40" i="12" l="1"/>
  <c r="E56" i="12" l="1"/>
  <c r="L7" i="12" l="1"/>
  <c r="J7" i="12"/>
  <c r="I7" i="12"/>
  <c r="H7" i="12"/>
  <c r="H85" i="12" l="1"/>
  <c r="H95" i="12" s="1"/>
  <c r="I85" i="12"/>
  <c r="I95" i="12" s="1"/>
  <c r="J85" i="12"/>
  <c r="J95" i="12" s="1"/>
  <c r="K85" i="12"/>
  <c r="G85" i="12"/>
  <c r="G95" i="12" s="1"/>
  <c r="K95" i="12" l="1"/>
  <c r="L85" i="12"/>
  <c r="L95" i="12" s="1"/>
  <c r="E55" i="12" l="1"/>
  <c r="E41" i="12"/>
  <c r="E64" i="12" l="1"/>
  <c r="F89" i="12"/>
</calcChain>
</file>

<file path=xl/sharedStrings.xml><?xml version="1.0" encoding="utf-8"?>
<sst xmlns="http://schemas.openxmlformats.org/spreadsheetml/2006/main" count="268" uniqueCount="185">
  <si>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</si>
  <si>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</si>
  <si>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</si>
  <si>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</si>
  <si>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</si>
  <si>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</si>
  <si>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</si>
  <si>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</si>
  <si>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</si>
  <si>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</si>
  <si>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</si>
  <si>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</si>
  <si>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</si>
  <si>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</si>
  <si>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</si>
  <si>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</si>
  <si>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</si>
  <si>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</si>
  <si>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</si>
  <si>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</si>
  <si>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</si>
  <si>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</si>
  <si>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</si>
  <si>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</si>
  <si>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</si>
  <si>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</si>
  <si>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</si>
  <si>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</si>
  <si>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</si>
  <si>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</si>
  <si>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</si>
  <si>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</si>
  <si>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</si>
  <si>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</si>
  <si>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</si>
  <si>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</si>
  <si>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</si>
  <si>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</si>
  <si>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</si>
  <si>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</si>
  <si>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</si>
  <si>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</si>
  <si>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</si>
  <si>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</si>
  <si>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</si>
  <si>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</si>
  <si>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</si>
  <si>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</si>
  <si>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</si>
  <si>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</si>
  <si>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</si>
  <si>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</si>
  <si>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</si>
  <si>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</si>
  <si>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</si>
  <si>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</si>
  <si>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</si>
  <si>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</si>
  <si>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</si>
  <si>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</si>
  <si>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</si>
  <si>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</si>
  <si>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</si>
  <si>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</si>
  <si>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</si>
  <si>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</si>
  <si>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</si>
  <si>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</si>
  <si>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</si>
  <si>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</si>
  <si>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</si>
  <si>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</si>
  <si>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</si>
  <si>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</si>
  <si>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</si>
  <si>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ჩრდილოეთის რგოლი ეგხ (I ფაზა) (EBRD, KfW)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</si>
  <si>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</si>
  <si>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</si>
  <si>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</si>
  <si>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</si>
  <si>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</si>
  <si>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</si>
  <si>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</si>
  <si>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</si>
  <si>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</si>
  <si>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</si>
  <si>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</si>
  <si>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</si>
  <si>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</si>
  <si>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</si>
  <si>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</si>
  <si>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</si>
  <si>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</si>
  <si>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</si>
  <si>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</si>
  <si>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</si>
  <si>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</si>
  <si>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</si>
  <si>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</si>
  <si>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</si>
  <si>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(JICA)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</si>
  <si>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</si>
  <si>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</si>
  <si>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</si>
  <si>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</si>
  <si>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მდინარე რიონზე ფოთის ხიდის მშენებლობა (EIB)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</si>
  <si>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</si>
  <si>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</si>
  <si>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</si>
  <si>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</si>
  <si>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მდინარე რიონზე ფოთის ხიდის მშენებლობა    (დაგეგმილი)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</si>
  <si>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</si>
  <si>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</si>
  <si>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</si>
  <si>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</si>
  <si>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</si>
  <si>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</si>
  <si>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</si>
  <si>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</si>
  <si>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</si>
  <si>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გურიის ელგადაცემის ხაზების ინფრასტრუქტურის გაძლიერება (KfW) 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</si>
  <si>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</si>
  <si>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</si>
  <si>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</si>
  <si>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>ჩრდილოეთის რგოლი  -  ნამახვანი - წყალტუბო - ლაჯანური(EBRD)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</si>
  <si>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</si>
  <si>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სამართლებრივი პროცედურები);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</si>
  <si>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</si>
  <si>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</si>
  <si>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</si>
  <si>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II, III და IV ლოტის ფარგლებში; ლოტი I -დარჩენილ სამუშაოებზე  ხელშეკრულება გაფორმდა ტენდერში გამარჯვებულ სამშენებლო კომპანიასთან, დაიწყო სამობილიზაციო და სამშენებლო სამუშაოები);
 - ფოთი-გრიგოლეთის მონაკვეთი (დეტალური პროექტის მომზადების სამუშაოები დასრულდა).</t>
  </si>
  <si>
    <t xml:space="preserve"> 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სატენდერო პროცედურები მშენებელ-კონტრაქტორის შესარჩევად).
პროექტი განხორციელდება EIB-ის თანამონაწილეობით.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</si>
  <si>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 (გაფორმდა ხელშეკრულება ტენდერში გამარჯვებულ სამშენებლო კომპანიასთან).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</si>
  <si>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(გაფორმდა ხელშეკრულება ტენდერში გამარჯვებულ სამშენებლო კომპანიასთან).</t>
  </si>
  <si>
    <t xml:space="preserve"> თბილისი-სენაკი-ლესელიძის საავტომობილო გზის შორაპანი-არგვეთას მონაკვეთის რეკონსტრუქცია-მშენებლობა (მიღებულია თანხმობა დონორისგან ტენდერის ჩაშლასთან დაკავშირებით).</t>
  </si>
  <si>
    <t xml:space="preserve"> გრიგოლეთი-ქობულეთის შემოვლითი გზის მონაკვეთის მშენებლობა  (2018 წლის 3 დეკემბერს გაფორმდა ხელშეკრულება ტენდერში გამარჯვებულ სამშენებლო კომპანიასთან).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</si>
  <si>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</t>
  </si>
  <si>
    <t>ალგეთი-სადახლოს საავტომობილო გზის მშენებლობა-მოდერნიზაცია   (დაგეგმილი).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</si>
  <si>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(გზის მონაკვეთი: მიმდინარეობს სატენდერო პროცედურები მშენებელ-კონტრაქტორის შესარჩევად; გვირაბის მონაკვეთი: ტენდერის გამოცხადება დაგეგმილია თებერვლის ბოლოს).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</si>
  <si>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</t>
  </si>
  <si>
    <t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განხორციელდება დამატებით 12 გზის რეაბილიტაცია (მთლიანობაში დაახლოებით 80 კმ), ხელშეკრულებები გაფორმდა და სარეაბილიტაციო სამუშოები დაიწყო 8 ს/გზის მონაკვეთზე, 4 გზის რეაბილიტაციისთვის მიმდინარეობს სატენდერო პროცედურები მშენებელ-კონტრაქტორთა შესარჩევად).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</si>
  <si>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(მიმდინარეობს საპროექტო და სარეაბილიტაციო  სამუშაოები);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</si>
  <si>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- მიმდინარეობს სამშენებლო სამუშაოები; მოლითი-ჩუმათელეთის გზის მონაკვეთის რეაბილიტაცია - ხელშეკრულება გაფორმდა ტენდერში გამარჯვებულ სამშენებლო კომპანიასთან).</t>
  </si>
  <si>
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რეკონსტრუქცია (გაიცა სამუშაოების დაწყების ინსტრუქცია).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</si>
  <si>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(მოსამზადებელი და საპროექტო სამუშაოები დაიწყო).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</si>
  <si>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</si>
  <si>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</si>
  <si>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</si>
  <si>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</si>
  <si>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</si>
  <si>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</si>
  <si>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</si>
  <si>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</si>
  <si>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</si>
  <si>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</si>
  <si>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</si>
  <si>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</si>
  <si>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</si>
  <si>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 მესტიაში წყალმომარაგების სათავე ნაგებობის მშენებლობა (დასრულდა), წყალმომარაგებისა და კანალიზაციის ქსელების მშენებლობა - რეაბილიტაცია (სამშენებლო სამუშაოები დასრულდა); წყლის გამწმენდი ნაგებობის, ახალი რეზერვუარების მშენებლობა და არსებული რეზერვუარის რეაბილიტაცია (მიმდინარეობს პროექტირება-მშენებლობა); 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 და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ნიადაგის გამაგრების სამუშაოები);
- ურეკში წყალმომარაგებისა და კანალიზაციის სისტემების მშენებლობა (მიმდინარეობს სამშენებლო სამუშაოები);
- ურეკში კანალიზაციის გამწმენდი ნაგებობის მშენებლობა (მიმდინარეობს შენახვის პროცედურები);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სამობილიზაციო სამუშაოები)
- აბაშის მაგისტრალური ხაზის მშენებლობა (მიმდინარეობს სამშენებლო სამუშაოები)
- თელავის წყალმომარაგების სისტემის მშენებლობა (მიმდინარეობს შეფასების პროცედურები);
- გუდაურის წყლისა და წყალარინების სისტემების მშენებლობა (ხელშეკრულება გაფორმებულია);
- გუდაურის წყალარინების გამწმენდი ნაგებობების მშენებლობა (მიმდინარეობს სატენდერო პროცედურები).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</si>
  <si>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</si>
  <si>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</si>
  <si>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</si>
  <si>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</si>
  <si>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</si>
  <si>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</si>
  <si>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</si>
  <si>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</si>
  <si>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</si>
  <si>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</si>
  <si>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</si>
  <si>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r>
      <rPr>
        <b/>
        <sz val="12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rFont val="Franklin Gothic Book"/>
        <family val="2"/>
        <scheme val="minor"/>
      </rPr>
      <t xml:space="preserve">ა
 - მოეწყო ხეხილის 4, ბოსტნეულის 2, კენკროვანი კულტურის 3, დაფნის 1, ვერმიკომპოსტის 1, კონსერვაციული სოფლის მეურნეობის 1 და ქარსაცავის 2 სადემონსტრაციო ნაკვეთი კახეთის, შიდა ქართლის, აჭარის და სამეგრელოს რეგიონებში.  ჩატარდა 44 ტრეინინგი (თეორიული და პრაქტიკული) 2398 მონაწილესთვის. 
- გაცემულია 337  მცირე და დიდი გრანტი. (350  პირველადი წარმოებისათვის და 7 გადამამუშავებელი საწარმოსთვის); 
- დასრულდა გორის მუნიციპალიტეტში ტირიფონის სარწყავი სისტემის გამანაწილებელის არხის რეაბილიტაცია;
- დასრულდა ძევერა-შერთულის საირიგაციო სისტემის მაგისტრალური არხის და შიდა ქსელების რეაბილიცია; 
- გრძელდება დეტალური პროექტის მომზადება სარწყავი სისტემის გამანაწილებლების და  ქსელის რეაბილიტაციისთვის (ქვემო ალაზანი, სალთვისი);
- გაფორმდა ხელშეკრულება ქვემო ალაზნის, სარწყავი სისტემის გამანაწილებელი არხის რეაბილიტაცია/მოდერნიზაციისათვის.
-  შიდა ქართლში (ქარელი, გორი) და სამეგრელოში (ხობი) სოფლის მცირე ინფრასტრუქტურის (გზები და ხიდები) რეაბილიტაციისთვის დაწყებულია სამშენებლო სამუშაოები;
- დასრულდა ლაგოდეხის მუნიციპალიტეტის, სოფელ გიორგეთში,  შიდასასოფლო გზის რეაბილიტაცია;
- მომზადებულია დეტალური პროექტი შიდა ქართლში, გორის მუნიციპალიტეტში, მდინარე ჭარებულას ლანდშაფტის აღდგენის გეგმისთვის.
- მომზადებულია შიდა ქართლში, გორის მუნიციპალიტეტში, სოფელ საქაშეთში ლანდშაფტის აღდგენის, კერძოდ  ლანდშაფტის აღდგენის გეგმა. </t>
    </r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</si>
  <si>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</si>
  <si>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</si>
  <si>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</si>
  <si>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</si>
  <si>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</si>
  <si>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r>
      <rPr>
        <b/>
        <sz val="12"/>
        <rFont val="Franklin Gothic Book"/>
        <family val="2"/>
        <scheme val="minor"/>
      </rPr>
      <t xml:space="preserve">
საქართველოს რეგიონებში საჯარო სკოლების რემონტი/რეაბილიტაცია</t>
    </r>
    <r>
      <rPr>
        <sz val="12"/>
        <rFont val="Franklin Gothic Book"/>
        <family val="2"/>
        <scheme val="minor"/>
      </rPr>
      <t xml:space="preserve">
- 71  საჯარო სკოლის სრული რეაბილიტაცია და საბუნებისმეტყველო ლაბორატორიებით აღჭურვა  შიდა და ქვემო ქართლის, სამცხე-ჯავახეთის, რაჭა-ლეჩხუმისა, კახეთის და ქვემო სვანეთის რეგიონებში (დასრულდა); 
- მიმდინარეობს 20 საჯარო სკოლის სრული რეაბილიტაცია. აქედან, 17  სკოლა მდებარეობს დასავლეთ საქართველოში, ხოლო 3 - კახეთში.
</t>
    </r>
    <r>
      <rPr>
        <b/>
        <sz val="12"/>
        <rFont val="Franklin Gothic Book"/>
        <family val="2"/>
        <scheme val="minor"/>
      </rPr>
      <t>მასწავლებელთა კვალიფიკაციის ამაღლება</t>
    </r>
    <r>
      <rPr>
        <sz val="12"/>
        <rFont val="Franklin Gothic Book"/>
        <family val="2"/>
        <scheme val="minor"/>
      </rPr>
      <t xml:space="preserve">
- ზოგადპროფესიული კურსის ფარგლებში გადამზადდა  13,441 მასწავლებელი, მათ შორის 1054 არაქართულენოვანი მასწავლებელი.
- საგნობრივი მეთოდიკის კურსის ფარგლებში გადამზადდა 14,153   მასწავლებელი, მათ შორის 1054 არაქართულენოვანი მასწავლებელი.
</t>
    </r>
    <r>
      <rPr>
        <b/>
        <sz val="12"/>
        <rFont val="Franklin Gothic Book"/>
        <family val="2"/>
        <scheme val="minor"/>
      </rPr>
      <t>სკოლის დირექტორთა კვალიფიკაციის ამაღლება</t>
    </r>
    <r>
      <rPr>
        <sz val="12"/>
        <rFont val="Franklin Gothic Book"/>
        <family val="2"/>
        <scheme val="minor"/>
      </rPr>
      <t xml:space="preserve">
- დასრულდა პროფესიული განვითარების კურსი „ლიდერობის აკადემია 2 და 3“ სკოლების დირექტორებისა და ფასილიტატორებისათვის. კურსი 1872-მა დირექტორმა და 1,794 ფასილიტატორმა გაიარა წარმატებით, მათ შორის 190 არაქართულენოვან დირექტორმა და 196 ფასილიტატორმა.
</t>
    </r>
    <r>
      <rPr>
        <b/>
        <sz val="12"/>
        <rFont val="Franklin Gothic Book"/>
        <family val="2"/>
        <scheme val="minor"/>
      </rPr>
      <t>უმაღლესი განათლების ხელშეწყობა ტექნიკურ დარგებში (მიმდინარეობს)</t>
    </r>
    <r>
      <rPr>
        <sz val="12"/>
        <rFont val="Franklin Gothic Book"/>
        <family val="2"/>
        <scheme val="minor"/>
      </rPr>
      <t xml:space="preserve">
განხორციელდა სან დიეგოს სახელმწიფო უნივერსიტეტის (SDSU) საქართველოს პარტნიორი უნივერსიტეტების ლაბორატორიების, აუდიტორიების სრული რეაბილიტაცია, აღჭურვა და ახალი ლაბორატორიების მოწყობა.
</t>
    </r>
  </si>
  <si>
    <t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</si>
  <si>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</si>
  <si>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 (მიმდინარეობს აღნიშნული კომპონენტის რესტრუქტურირებისთვის საჭირო პროცედურები);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 (მიმდინარეობს აღნიშნული კომპონენტის რესტრუქტურირებისთვის საჭირო  პროცედურები)
 - ინდივიდუალური პირებისა და ფირმების ინოვაციური შესაძლებლობების განვითარება (მიმდინარეობს აღნიშნული კომპონენტის რესტრუქტურირებისთვის საჭირო პროცედურები).</t>
  </si>
  <si>
    <t>ეკოლოგიურად სუფთა მყარი ნარჩენების დანერგვა კახეთისა და სამეგრელო-ზემო სვანეთის რეგიონებში</t>
  </si>
  <si>
    <t>30.09.2021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</si>
  <si>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
</t>
    </r>
  </si>
  <si>
    <t>დაგეგმილი</t>
  </si>
  <si>
    <t>2019 წლის 31  იანვარის მდგომარეობით (ათას ერთეულში)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</si>
</sst>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dd\.mm\.yyyy"/>
    <numFmt numFmtId="166" formatCode="#,##0.00000"/>
  </numFmts>
  <fonts count="22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43" fontId="5" fillId="0" borderId="28" xfId="15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49" fontId="6" fillId="0" borderId="38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39" xfId="1" applyFont="1" applyFill="1" applyBorder="1" applyAlignment="1">
      <alignment horizontal="left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4" fontId="6" fillId="0" borderId="40" xfId="1" applyNumberFormat="1" applyFont="1" applyFill="1" applyBorder="1" applyAlignment="1">
      <alignment horizontal="center" vertical="center"/>
    </xf>
    <xf numFmtId="164" fontId="5" fillId="2" borderId="40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 wrapText="1"/>
    </xf>
    <xf numFmtId="49" fontId="6" fillId="0" borderId="41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34" xfId="1" applyNumberFormat="1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3"/>
  <sheetViews>
    <sheetView tabSelected="1" view="pageBreakPreview" topLeftCell="B91" zoomScale="80" zoomScaleNormal="60" zoomScaleSheetLayoutView="80" zoomScalePageLayoutView="20" workbookViewId="0">
      <selection activeCell="N93" sqref="N93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14.777343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3.33203125" style="1" customWidth="1"/>
    <col min="13" max="13" width="28.77734375" style="5" hidden="1" customWidth="1"/>
    <col min="14" max="14" width="82.777343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27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18"/>
    </row>
    <row r="3" spans="1:14" ht="27" customHeight="1" thickBot="1">
      <c r="A3" s="128" t="s">
        <v>184</v>
      </c>
      <c r="B3" s="24"/>
      <c r="C3" s="24"/>
      <c r="D3" s="25"/>
      <c r="E3" s="25"/>
      <c r="F3" s="25"/>
      <c r="G3" s="25"/>
      <c r="H3" s="94"/>
      <c r="I3" s="25"/>
      <c r="J3" s="25"/>
      <c r="K3" s="25"/>
      <c r="L3" s="25"/>
      <c r="M3" s="25"/>
    </row>
    <row r="4" spans="1:14" s="7" customFormat="1" ht="75.75" customHeight="1">
      <c r="A4" s="205" t="s">
        <v>10</v>
      </c>
      <c r="B4" s="195" t="s">
        <v>92</v>
      </c>
      <c r="C4" s="195" t="s">
        <v>48</v>
      </c>
      <c r="D4" s="186" t="s">
        <v>38</v>
      </c>
      <c r="E4" s="186"/>
      <c r="F4" s="186"/>
      <c r="G4" s="208" t="s">
        <v>115</v>
      </c>
      <c r="H4" s="208"/>
      <c r="I4" s="186" t="s">
        <v>116</v>
      </c>
      <c r="J4" s="186"/>
      <c r="K4" s="186" t="s">
        <v>50</v>
      </c>
      <c r="L4" s="186"/>
      <c r="M4" s="189" t="s">
        <v>0</v>
      </c>
      <c r="N4" s="191" t="s">
        <v>37</v>
      </c>
    </row>
    <row r="5" spans="1:14" s="7" customFormat="1" ht="54" customHeight="1" thickBot="1">
      <c r="A5" s="206"/>
      <c r="B5" s="196"/>
      <c r="C5" s="196"/>
      <c r="D5" s="197" t="s">
        <v>34</v>
      </c>
      <c r="E5" s="197"/>
      <c r="F5" s="197"/>
      <c r="G5" s="209" t="s">
        <v>45</v>
      </c>
      <c r="H5" s="209"/>
      <c r="I5" s="197" t="s">
        <v>45</v>
      </c>
      <c r="J5" s="197"/>
      <c r="K5" s="197" t="s">
        <v>45</v>
      </c>
      <c r="L5" s="197"/>
      <c r="M5" s="190"/>
      <c r="N5" s="192"/>
    </row>
    <row r="6" spans="1:14" ht="30.75" customHeight="1" thickBot="1">
      <c r="A6" s="129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95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9"/>
    </row>
    <row r="7" spans="1:14" s="8" customFormat="1" ht="36.75" customHeight="1" thickBot="1">
      <c r="A7" s="202" t="s">
        <v>13</v>
      </c>
      <c r="B7" s="203"/>
      <c r="C7" s="203"/>
      <c r="D7" s="203"/>
      <c r="E7" s="203"/>
      <c r="F7" s="204"/>
      <c r="G7" s="30">
        <f>SUM(G8:G35)</f>
        <v>680550</v>
      </c>
      <c r="H7" s="96">
        <f t="shared" ref="H7:L7" si="0">SUM(H8:H35)</f>
        <v>8050</v>
      </c>
      <c r="I7" s="30">
        <f t="shared" si="0"/>
        <v>244.65883999999997</v>
      </c>
      <c r="J7" s="30">
        <f t="shared" si="0"/>
        <v>16.259139999999999</v>
      </c>
      <c r="K7" s="30">
        <f>SUM(K8:K35)</f>
        <v>2002743.5690299999</v>
      </c>
      <c r="L7" s="30">
        <f t="shared" si="0"/>
        <v>31012.108479999999</v>
      </c>
      <c r="M7" s="31"/>
      <c r="N7" s="120"/>
    </row>
    <row r="8" spans="1:14" ht="54.95" customHeight="1">
      <c r="A8" s="220" t="s">
        <v>35</v>
      </c>
      <c r="B8" s="187">
        <v>41431</v>
      </c>
      <c r="C8" s="221">
        <v>43524</v>
      </c>
      <c r="D8" s="69" t="s">
        <v>24</v>
      </c>
      <c r="E8" s="69">
        <v>24500</v>
      </c>
      <c r="F8" s="194"/>
      <c r="G8" s="194">
        <v>4000</v>
      </c>
      <c r="H8" s="213"/>
      <c r="I8" s="194">
        <v>33.2273</v>
      </c>
      <c r="J8" s="212"/>
      <c r="K8" s="194">
        <f>148859.28356+I8</f>
        <v>148892.51086000001</v>
      </c>
      <c r="L8" s="194"/>
      <c r="M8" s="219" t="s">
        <v>42</v>
      </c>
      <c r="N8" s="217" t="s">
        <v>125</v>
      </c>
    </row>
    <row r="9" spans="1:14" ht="123" customHeight="1">
      <c r="A9" s="207"/>
      <c r="B9" s="188"/>
      <c r="C9" s="222"/>
      <c r="D9" s="68" t="s">
        <v>25</v>
      </c>
      <c r="E9" s="68">
        <v>38000</v>
      </c>
      <c r="F9" s="193"/>
      <c r="G9" s="193"/>
      <c r="H9" s="210"/>
      <c r="I9" s="193"/>
      <c r="J9" s="211"/>
      <c r="K9" s="193"/>
      <c r="L9" s="193"/>
      <c r="M9" s="218"/>
      <c r="N9" s="183"/>
    </row>
    <row r="10" spans="1:14" s="10" customFormat="1" ht="81.599999999999994" customHeight="1">
      <c r="A10" s="207" t="s">
        <v>66</v>
      </c>
      <c r="B10" s="188">
        <v>42410</v>
      </c>
      <c r="C10" s="188">
        <v>44196</v>
      </c>
      <c r="D10" s="68" t="s">
        <v>25</v>
      </c>
      <c r="E10" s="68">
        <v>140000</v>
      </c>
      <c r="F10" s="68"/>
      <c r="G10" s="193">
        <v>55225</v>
      </c>
      <c r="H10" s="210"/>
      <c r="I10" s="193">
        <v>7</v>
      </c>
      <c r="J10" s="211"/>
      <c r="K10" s="193">
        <f>102576.23686+I10</f>
        <v>102583.23686</v>
      </c>
      <c r="L10" s="193"/>
      <c r="M10" s="70"/>
      <c r="N10" s="182" t="s">
        <v>126</v>
      </c>
    </row>
    <row r="11" spans="1:14" s="10" customFormat="1" ht="93" customHeight="1">
      <c r="A11" s="207"/>
      <c r="B11" s="188"/>
      <c r="C11" s="188"/>
      <c r="D11" s="68" t="s">
        <v>31</v>
      </c>
      <c r="E11" s="68">
        <v>49450</v>
      </c>
      <c r="F11" s="68"/>
      <c r="G11" s="193"/>
      <c r="H11" s="210"/>
      <c r="I11" s="193"/>
      <c r="J11" s="211"/>
      <c r="K11" s="193"/>
      <c r="L11" s="193"/>
      <c r="M11" s="70"/>
      <c r="N11" s="183"/>
    </row>
    <row r="12" spans="1:14" ht="54" customHeight="1">
      <c r="A12" s="207" t="s">
        <v>29</v>
      </c>
      <c r="B12" s="188">
        <v>40115</v>
      </c>
      <c r="C12" s="188">
        <v>43737</v>
      </c>
      <c r="D12" s="68" t="s">
        <v>24</v>
      </c>
      <c r="E12" s="68">
        <v>75892</v>
      </c>
      <c r="F12" s="193"/>
      <c r="G12" s="193">
        <v>4000</v>
      </c>
      <c r="H12" s="210"/>
      <c r="I12" s="193">
        <v>37.57602</v>
      </c>
      <c r="J12" s="193"/>
      <c r="K12" s="193">
        <f>372829.86217+I12</f>
        <v>372867.43818999996</v>
      </c>
      <c r="L12" s="193"/>
      <c r="M12" s="218" t="s">
        <v>42</v>
      </c>
      <c r="N12" s="182" t="s">
        <v>127</v>
      </c>
    </row>
    <row r="13" spans="1:14" ht="25.9" customHeight="1">
      <c r="A13" s="207"/>
      <c r="B13" s="188"/>
      <c r="C13" s="188"/>
      <c r="D13" s="68" t="s">
        <v>28</v>
      </c>
      <c r="E13" s="68">
        <v>140000</v>
      </c>
      <c r="F13" s="193"/>
      <c r="G13" s="193"/>
      <c r="H13" s="210"/>
      <c r="I13" s="193"/>
      <c r="J13" s="193"/>
      <c r="K13" s="193"/>
      <c r="L13" s="193"/>
      <c r="M13" s="218"/>
      <c r="N13" s="183"/>
    </row>
    <row r="14" spans="1:14" ht="36.6" customHeight="1">
      <c r="A14" s="198" t="s">
        <v>79</v>
      </c>
      <c r="B14" s="200">
        <v>42898</v>
      </c>
      <c r="C14" s="200">
        <v>45107</v>
      </c>
      <c r="D14" s="76" t="s">
        <v>31</v>
      </c>
      <c r="E14" s="76">
        <v>108190</v>
      </c>
      <c r="F14" s="180"/>
      <c r="G14" s="180">
        <v>56000</v>
      </c>
      <c r="H14" s="184"/>
      <c r="I14" s="184"/>
      <c r="J14" s="180"/>
      <c r="K14" s="180">
        <f>61088.39635+I14</f>
        <v>61088.396350000003</v>
      </c>
      <c r="L14" s="180"/>
      <c r="M14" s="70"/>
      <c r="N14" s="182" t="s">
        <v>128</v>
      </c>
    </row>
    <row r="15" spans="1:14" s="14" customFormat="1" ht="57.75" customHeight="1">
      <c r="A15" s="199"/>
      <c r="B15" s="201"/>
      <c r="C15" s="201"/>
      <c r="D15" s="76" t="s">
        <v>25</v>
      </c>
      <c r="E15" s="76">
        <v>114000</v>
      </c>
      <c r="F15" s="181"/>
      <c r="G15" s="181"/>
      <c r="H15" s="185"/>
      <c r="I15" s="185"/>
      <c r="J15" s="181"/>
      <c r="K15" s="181"/>
      <c r="L15" s="181"/>
      <c r="M15" s="78"/>
      <c r="N15" s="183"/>
    </row>
    <row r="16" spans="1:14" ht="127.5" customHeight="1">
      <c r="A16" s="130" t="s">
        <v>32</v>
      </c>
      <c r="B16" s="67">
        <v>40163</v>
      </c>
      <c r="C16" s="36">
        <v>45101</v>
      </c>
      <c r="D16" s="68" t="s">
        <v>30</v>
      </c>
      <c r="E16" s="68">
        <v>22132000</v>
      </c>
      <c r="F16" s="68"/>
      <c r="G16" s="89">
        <v>1600</v>
      </c>
      <c r="H16" s="76"/>
      <c r="I16" s="68"/>
      <c r="J16" s="68"/>
      <c r="K16" s="89">
        <f>395400.05161+I16</f>
        <v>395400.05161000002</v>
      </c>
      <c r="L16" s="68"/>
      <c r="M16" s="70" t="s">
        <v>42</v>
      </c>
      <c r="N16" s="74" t="s">
        <v>129</v>
      </c>
    </row>
    <row r="17" spans="1:14" ht="135.75" customHeight="1">
      <c r="A17" s="130" t="s">
        <v>57</v>
      </c>
      <c r="B17" s="67">
        <v>41040</v>
      </c>
      <c r="C17" s="67">
        <v>43797</v>
      </c>
      <c r="D17" s="68" t="s">
        <v>31</v>
      </c>
      <c r="E17" s="68">
        <v>200000</v>
      </c>
      <c r="F17" s="68">
        <v>20000</v>
      </c>
      <c r="G17" s="142">
        <v>52300</v>
      </c>
      <c r="H17" s="144">
        <v>8050</v>
      </c>
      <c r="I17" s="68">
        <v>119.23354</v>
      </c>
      <c r="J17" s="68">
        <v>16.259139999999999</v>
      </c>
      <c r="K17" s="89">
        <f>299698.79166+I17</f>
        <v>299818.02519999997</v>
      </c>
      <c r="L17" s="68">
        <f>30995.84934+J17</f>
        <v>31012.108479999999</v>
      </c>
      <c r="M17" s="70" t="s">
        <v>42</v>
      </c>
      <c r="N17" s="74" t="s">
        <v>130</v>
      </c>
    </row>
    <row r="18" spans="1:14" s="14" customFormat="1" ht="61.15" customHeight="1">
      <c r="A18" s="178" t="s">
        <v>112</v>
      </c>
      <c r="B18" s="111" t="s">
        <v>108</v>
      </c>
      <c r="C18" s="111" t="s">
        <v>109</v>
      </c>
      <c r="D18" s="110" t="s">
        <v>31</v>
      </c>
      <c r="E18" s="110">
        <v>16900</v>
      </c>
      <c r="F18" s="102"/>
      <c r="G18" s="180">
        <v>45600</v>
      </c>
      <c r="H18" s="184"/>
      <c r="I18" s="180"/>
      <c r="J18" s="180"/>
      <c r="K18" s="180">
        <f>125.74445+I18</f>
        <v>125.74445</v>
      </c>
      <c r="L18" s="180"/>
      <c r="M18" s="103"/>
      <c r="N18" s="182" t="s">
        <v>131</v>
      </c>
    </row>
    <row r="19" spans="1:14" s="14" customFormat="1" ht="57" customHeight="1">
      <c r="A19" s="179"/>
      <c r="B19" s="111"/>
      <c r="C19" s="111"/>
      <c r="D19" s="110"/>
      <c r="E19" s="110"/>
      <c r="F19" s="82"/>
      <c r="G19" s="181"/>
      <c r="H19" s="185"/>
      <c r="I19" s="181"/>
      <c r="J19" s="181"/>
      <c r="K19" s="181"/>
      <c r="L19" s="181"/>
      <c r="M19" s="93"/>
      <c r="N19" s="183"/>
    </row>
    <row r="20" spans="1:14" s="14" customFormat="1" ht="62.25" customHeight="1">
      <c r="A20" s="130" t="s">
        <v>98</v>
      </c>
      <c r="B20" s="83"/>
      <c r="C20" s="83"/>
      <c r="D20" s="82"/>
      <c r="E20" s="82"/>
      <c r="F20" s="82"/>
      <c r="G20" s="89">
        <v>63550</v>
      </c>
      <c r="H20" s="82"/>
      <c r="I20" s="82"/>
      <c r="J20" s="82"/>
      <c r="K20" s="89">
        <f>113756.3746+I20</f>
        <v>113756.3746</v>
      </c>
      <c r="L20" s="82"/>
      <c r="M20" s="93"/>
      <c r="N20" s="113" t="s">
        <v>132</v>
      </c>
    </row>
    <row r="21" spans="1:14" s="14" customFormat="1" ht="75.75" customHeight="1">
      <c r="A21" s="130" t="s">
        <v>99</v>
      </c>
      <c r="B21" s="83"/>
      <c r="C21" s="83"/>
      <c r="D21" s="82"/>
      <c r="E21" s="82"/>
      <c r="F21" s="82"/>
      <c r="G21" s="89">
        <v>96850</v>
      </c>
      <c r="H21" s="82"/>
      <c r="I21" s="82"/>
      <c r="J21" s="82"/>
      <c r="K21" s="89">
        <f>201682.00984+I21</f>
        <v>201682.00984000001</v>
      </c>
      <c r="L21" s="82"/>
      <c r="M21" s="93"/>
      <c r="N21" s="113" t="s">
        <v>133</v>
      </c>
    </row>
    <row r="22" spans="1:14" s="14" customFormat="1" ht="63" customHeight="1">
      <c r="A22" s="130" t="s">
        <v>100</v>
      </c>
      <c r="B22" s="83"/>
      <c r="C22" s="83"/>
      <c r="D22" s="82"/>
      <c r="E22" s="82"/>
      <c r="F22" s="82"/>
      <c r="G22" s="89">
        <v>48850</v>
      </c>
      <c r="H22" s="82"/>
      <c r="I22" s="82"/>
      <c r="J22" s="82"/>
      <c r="K22" s="89"/>
      <c r="L22" s="82"/>
      <c r="M22" s="93"/>
      <c r="N22" s="113" t="s">
        <v>134</v>
      </c>
    </row>
    <row r="23" spans="1:14" s="14" customFormat="1" ht="65.25" customHeight="1">
      <c r="A23" s="130" t="s">
        <v>101</v>
      </c>
      <c r="B23" s="83"/>
      <c r="C23" s="83"/>
      <c r="D23" s="82"/>
      <c r="E23" s="82"/>
      <c r="F23" s="82"/>
      <c r="G23" s="89">
        <v>48700</v>
      </c>
      <c r="H23" s="82"/>
      <c r="I23" s="82"/>
      <c r="J23" s="82"/>
      <c r="K23" s="89">
        <f>20357.40381+I23</f>
        <v>20357.40381</v>
      </c>
      <c r="L23" s="82"/>
      <c r="M23" s="93"/>
      <c r="N23" s="113" t="s">
        <v>135</v>
      </c>
    </row>
    <row r="24" spans="1:14" s="14" customFormat="1" ht="55.5" customHeight="1">
      <c r="A24" s="130" t="s">
        <v>102</v>
      </c>
      <c r="B24" s="83"/>
      <c r="C24" s="83"/>
      <c r="D24" s="82"/>
      <c r="E24" s="82"/>
      <c r="F24" s="82"/>
      <c r="G24" s="89"/>
      <c r="H24" s="82"/>
      <c r="I24" s="82"/>
      <c r="J24" s="82"/>
      <c r="K24" s="89"/>
      <c r="L24" s="82"/>
      <c r="M24" s="93"/>
      <c r="N24" s="113" t="s">
        <v>136</v>
      </c>
    </row>
    <row r="25" spans="1:14" s="14" customFormat="1" ht="79.5" customHeight="1">
      <c r="A25" s="130" t="s">
        <v>103</v>
      </c>
      <c r="B25" s="83"/>
      <c r="C25" s="83"/>
      <c r="D25" s="82"/>
      <c r="E25" s="82"/>
      <c r="F25" s="82"/>
      <c r="G25" s="89"/>
      <c r="H25" s="82"/>
      <c r="I25" s="82"/>
      <c r="J25" s="82"/>
      <c r="K25" s="89"/>
      <c r="L25" s="82"/>
      <c r="M25" s="93"/>
      <c r="N25" s="113" t="s">
        <v>137</v>
      </c>
    </row>
    <row r="26" spans="1:14" s="14" customFormat="1" ht="84.75" customHeight="1">
      <c r="A26" s="130" t="s">
        <v>104</v>
      </c>
      <c r="B26" s="83"/>
      <c r="C26" s="83"/>
      <c r="D26" s="82"/>
      <c r="E26" s="82"/>
      <c r="F26" s="82"/>
      <c r="G26" s="89">
        <v>122275</v>
      </c>
      <c r="H26" s="82"/>
      <c r="I26" s="82"/>
      <c r="J26" s="82"/>
      <c r="K26" s="89"/>
      <c r="L26" s="82"/>
      <c r="M26" s="93"/>
      <c r="N26" s="113" t="s">
        <v>138</v>
      </c>
    </row>
    <row r="27" spans="1:14" s="14" customFormat="1" ht="54.75" customHeight="1">
      <c r="A27" s="130" t="s">
        <v>105</v>
      </c>
      <c r="B27" s="83"/>
      <c r="C27" s="83"/>
      <c r="D27" s="82"/>
      <c r="E27" s="82"/>
      <c r="F27" s="82"/>
      <c r="G27" s="89"/>
      <c r="H27" s="82"/>
      <c r="I27" s="82"/>
      <c r="J27" s="82"/>
      <c r="K27" s="89"/>
      <c r="L27" s="82"/>
      <c r="M27" s="93"/>
      <c r="N27" s="113" t="s">
        <v>110</v>
      </c>
    </row>
    <row r="28" spans="1:14" s="14" customFormat="1" ht="50.25" customHeight="1">
      <c r="A28" s="130" t="s">
        <v>106</v>
      </c>
      <c r="B28" s="83"/>
      <c r="C28" s="83"/>
      <c r="D28" s="82"/>
      <c r="E28" s="82"/>
      <c r="F28" s="82"/>
      <c r="G28" s="89"/>
      <c r="H28" s="82"/>
      <c r="I28" s="82"/>
      <c r="J28" s="82"/>
      <c r="K28" s="89"/>
      <c r="L28" s="82"/>
      <c r="M28" s="93"/>
      <c r="N28" s="113" t="s">
        <v>111</v>
      </c>
    </row>
    <row r="29" spans="1:14" s="4" customFormat="1" ht="30.75" customHeight="1">
      <c r="A29" s="207" t="s">
        <v>1</v>
      </c>
      <c r="B29" s="188">
        <v>40990</v>
      </c>
      <c r="C29" s="188">
        <v>43646</v>
      </c>
      <c r="D29" s="68" t="s">
        <v>24</v>
      </c>
      <c r="E29" s="68">
        <v>25800</v>
      </c>
      <c r="F29" s="193"/>
      <c r="G29" s="193">
        <v>2300</v>
      </c>
      <c r="H29" s="210"/>
      <c r="I29" s="193">
        <v>4.5</v>
      </c>
      <c r="J29" s="211"/>
      <c r="K29" s="193">
        <f>126586.68242+I29</f>
        <v>126591.18242</v>
      </c>
      <c r="L29" s="193"/>
      <c r="M29" s="218" t="s">
        <v>42</v>
      </c>
      <c r="N29" s="182" t="s">
        <v>139</v>
      </c>
    </row>
    <row r="30" spans="1:14" s="4" customFormat="1" ht="28.15" customHeight="1">
      <c r="A30" s="207"/>
      <c r="B30" s="188"/>
      <c r="C30" s="188"/>
      <c r="D30" s="68" t="s">
        <v>25</v>
      </c>
      <c r="E30" s="68">
        <v>30000</v>
      </c>
      <c r="F30" s="193"/>
      <c r="G30" s="193"/>
      <c r="H30" s="210"/>
      <c r="I30" s="193"/>
      <c r="J30" s="211"/>
      <c r="K30" s="193"/>
      <c r="L30" s="193"/>
      <c r="M30" s="218"/>
      <c r="N30" s="183"/>
    </row>
    <row r="31" spans="1:14" s="4" customFormat="1" ht="117.75" customHeight="1">
      <c r="A31" s="130" t="s">
        <v>46</v>
      </c>
      <c r="B31" s="67">
        <v>41829</v>
      </c>
      <c r="C31" s="67">
        <v>43373</v>
      </c>
      <c r="D31" s="68" t="s">
        <v>25</v>
      </c>
      <c r="E31" s="68">
        <v>75000</v>
      </c>
      <c r="F31" s="68"/>
      <c r="G31" s="89">
        <v>32000</v>
      </c>
      <c r="H31" s="76"/>
      <c r="I31" s="68">
        <v>18.620480000000001</v>
      </c>
      <c r="J31" s="68"/>
      <c r="K31" s="89">
        <f>111232.66285+I31</f>
        <v>111251.28332999999</v>
      </c>
      <c r="L31" s="68"/>
      <c r="M31" s="70" t="s">
        <v>42</v>
      </c>
      <c r="N31" s="74" t="s">
        <v>140</v>
      </c>
    </row>
    <row r="32" spans="1:14" s="4" customFormat="1" ht="148.5" customHeight="1">
      <c r="A32" s="108" t="s">
        <v>63</v>
      </c>
      <c r="B32" s="67">
        <v>42457</v>
      </c>
      <c r="C32" s="67">
        <v>44561</v>
      </c>
      <c r="D32" s="68" t="s">
        <v>25</v>
      </c>
      <c r="E32" s="68">
        <v>40000</v>
      </c>
      <c r="F32" s="68"/>
      <c r="G32" s="89">
        <v>20000</v>
      </c>
      <c r="H32" s="76"/>
      <c r="I32" s="68"/>
      <c r="J32" s="68"/>
      <c r="K32" s="89">
        <f>31603.92074+I32</f>
        <v>31603.920740000001</v>
      </c>
      <c r="L32" s="68"/>
      <c r="M32" s="70"/>
      <c r="N32" s="74" t="s">
        <v>141</v>
      </c>
    </row>
    <row r="33" spans="1:16" s="4" customFormat="1" ht="85.5" customHeight="1">
      <c r="A33" s="108" t="s">
        <v>95</v>
      </c>
      <c r="B33" s="105" t="s">
        <v>96</v>
      </c>
      <c r="C33" s="105" t="s">
        <v>97</v>
      </c>
      <c r="D33" s="104" t="s">
        <v>25</v>
      </c>
      <c r="E33" s="104">
        <v>80000</v>
      </c>
      <c r="F33" s="104"/>
      <c r="G33" s="104">
        <v>15400</v>
      </c>
      <c r="H33" s="104"/>
      <c r="I33" s="104">
        <v>4.6386000000000003</v>
      </c>
      <c r="J33" s="104"/>
      <c r="K33" s="160">
        <f>15769.12805+I33</f>
        <v>15773.76665</v>
      </c>
      <c r="L33" s="104"/>
      <c r="M33" s="77"/>
      <c r="N33" s="109" t="s">
        <v>142</v>
      </c>
    </row>
    <row r="34" spans="1:16" s="4" customFormat="1" ht="61.15" customHeight="1">
      <c r="A34" s="108" t="s">
        <v>64</v>
      </c>
      <c r="B34" s="67">
        <v>42752</v>
      </c>
      <c r="C34" s="67">
        <v>44196</v>
      </c>
      <c r="D34" s="68" t="s">
        <v>67</v>
      </c>
      <c r="E34" s="68">
        <v>8000</v>
      </c>
      <c r="F34" s="68"/>
      <c r="G34" s="89">
        <v>9200</v>
      </c>
      <c r="H34" s="76"/>
      <c r="I34" s="68">
        <v>19.8629</v>
      </c>
      <c r="J34" s="68"/>
      <c r="K34" s="89">
        <f>795.30622+I34</f>
        <v>815.16912000000002</v>
      </c>
      <c r="L34" s="68"/>
      <c r="M34" s="70"/>
      <c r="N34" s="74" t="s">
        <v>143</v>
      </c>
    </row>
    <row r="35" spans="1:16" s="4" customFormat="1" ht="72.599999999999994" customHeight="1" thickBot="1">
      <c r="A35" s="131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2700</v>
      </c>
      <c r="H35" s="86"/>
      <c r="I35" s="38"/>
      <c r="J35" s="38"/>
      <c r="K35" s="38">
        <f>137.055+I35</f>
        <v>137.05500000000001</v>
      </c>
      <c r="L35" s="38"/>
      <c r="M35" s="39"/>
      <c r="N35" s="80" t="s">
        <v>144</v>
      </c>
    </row>
    <row r="36" spans="1:16" s="8" customFormat="1" ht="30" customHeight="1" thickBot="1">
      <c r="A36" s="223" t="s">
        <v>12</v>
      </c>
      <c r="B36" s="224"/>
      <c r="C36" s="224"/>
      <c r="D36" s="224"/>
      <c r="E36" s="224"/>
      <c r="F36" s="225"/>
      <c r="G36" s="40">
        <f>G37+G38+G39+G40+G42+G43+G45+G46+G48+G49+G50+G47+G51+G52</f>
        <v>211480</v>
      </c>
      <c r="H36" s="97">
        <f t="shared" ref="H36:L36" si="1">H37+H38+H39+H40+H42+H43+H45+H46+H48+H49+H50+H47+H51+H52</f>
        <v>7100</v>
      </c>
      <c r="I36" s="40">
        <f t="shared" si="1"/>
        <v>1582.0615600000001</v>
      </c>
      <c r="J36" s="40">
        <f t="shared" si="1"/>
        <v>2.0592000000000001</v>
      </c>
      <c r="K36" s="40">
        <f>K37+K38+K39+K40+K42+K43+K45+K46+K48+K49+K50+K47+K51+K52</f>
        <v>742159.33147999994</v>
      </c>
      <c r="L36" s="40">
        <f t="shared" si="1"/>
        <v>14891.085129999999</v>
      </c>
      <c r="M36" s="41"/>
      <c r="N36" s="121"/>
      <c r="P36" s="11"/>
    </row>
    <row r="37" spans="1:16" ht="72.75" customHeight="1">
      <c r="A37" s="132" t="s">
        <v>51</v>
      </c>
      <c r="B37" s="42">
        <v>41869</v>
      </c>
      <c r="C37" s="42">
        <v>43646</v>
      </c>
      <c r="D37" s="43" t="s">
        <v>25</v>
      </c>
      <c r="E37" s="43">
        <v>30000</v>
      </c>
      <c r="F37" s="43">
        <v>5000</v>
      </c>
      <c r="G37" s="43">
        <v>8800</v>
      </c>
      <c r="H37" s="84">
        <v>3600</v>
      </c>
      <c r="I37" s="43">
        <v>435.64422999999999</v>
      </c>
      <c r="J37" s="84">
        <v>2.0592000000000001</v>
      </c>
      <c r="K37" s="43">
        <f>42550.40846+I37</f>
        <v>42986.052689999997</v>
      </c>
      <c r="L37" s="43">
        <f>4758.74569+J37</f>
        <v>4760.8048899999994</v>
      </c>
      <c r="M37" s="44"/>
      <c r="N37" s="122" t="s">
        <v>145</v>
      </c>
    </row>
    <row r="38" spans="1:16" ht="88.5" customHeight="1">
      <c r="A38" s="133" t="s">
        <v>6</v>
      </c>
      <c r="B38" s="72">
        <v>40227</v>
      </c>
      <c r="C38" s="45">
        <v>43465</v>
      </c>
      <c r="D38" s="71" t="s">
        <v>31</v>
      </c>
      <c r="E38" s="71">
        <v>3000</v>
      </c>
      <c r="F38" s="71"/>
      <c r="G38" s="90">
        <v>3000</v>
      </c>
      <c r="H38" s="85"/>
      <c r="I38" s="71"/>
      <c r="J38" s="71"/>
      <c r="K38" s="90">
        <f>74.757+I38</f>
        <v>74.757000000000005</v>
      </c>
      <c r="L38" s="71"/>
      <c r="M38" s="73" t="s">
        <v>39</v>
      </c>
      <c r="N38" s="123" t="s">
        <v>146</v>
      </c>
    </row>
    <row r="39" spans="1:16" ht="115.5" customHeight="1">
      <c r="A39" s="133" t="s">
        <v>58</v>
      </c>
      <c r="B39" s="72">
        <v>41621</v>
      </c>
      <c r="C39" s="72">
        <v>43465</v>
      </c>
      <c r="D39" s="71" t="s">
        <v>31</v>
      </c>
      <c r="E39" s="71">
        <v>20000</v>
      </c>
      <c r="F39" s="71">
        <v>2000</v>
      </c>
      <c r="G39" s="90">
        <v>15000</v>
      </c>
      <c r="H39" s="85">
        <v>1000</v>
      </c>
      <c r="I39" s="71"/>
      <c r="J39" s="71"/>
      <c r="K39" s="46">
        <f>7439.85874+I39</f>
        <v>7439.8587399999997</v>
      </c>
      <c r="L39" s="71">
        <f>4849.88963+J39</f>
        <v>4849.8896299999997</v>
      </c>
      <c r="M39" s="73" t="s">
        <v>47</v>
      </c>
      <c r="N39" s="123" t="s">
        <v>147</v>
      </c>
    </row>
    <row r="40" spans="1:16" ht="58.15" customHeight="1">
      <c r="A40" s="238" t="s">
        <v>22</v>
      </c>
      <c r="B40" s="215">
        <v>40350</v>
      </c>
      <c r="C40" s="215">
        <v>44196</v>
      </c>
      <c r="D40" s="71" t="s">
        <v>24</v>
      </c>
      <c r="E40" s="71">
        <f>57986+10639</f>
        <v>68625</v>
      </c>
      <c r="F40" s="216"/>
      <c r="G40" s="216">
        <v>59650</v>
      </c>
      <c r="H40" s="231"/>
      <c r="I40" s="216">
        <v>56.692230000000002</v>
      </c>
      <c r="J40" s="216"/>
      <c r="K40" s="216">
        <f>358756.19854+I40</f>
        <v>358812.89077</v>
      </c>
      <c r="L40" s="216"/>
      <c r="M40" s="230" t="s">
        <v>40</v>
      </c>
      <c r="N40" s="226" t="s">
        <v>148</v>
      </c>
    </row>
    <row r="41" spans="1:16" ht="130.5" customHeight="1">
      <c r="A41" s="238"/>
      <c r="B41" s="215"/>
      <c r="C41" s="215"/>
      <c r="D41" s="71" t="s">
        <v>25</v>
      </c>
      <c r="E41" s="71">
        <f>48886+73000+20000</f>
        <v>141886</v>
      </c>
      <c r="F41" s="216"/>
      <c r="G41" s="216"/>
      <c r="H41" s="231"/>
      <c r="I41" s="216"/>
      <c r="J41" s="216"/>
      <c r="K41" s="216"/>
      <c r="L41" s="216"/>
      <c r="M41" s="230"/>
      <c r="N41" s="226"/>
    </row>
    <row r="42" spans="1:16" ht="126" customHeight="1">
      <c r="A42" s="134" t="s">
        <v>2</v>
      </c>
      <c r="B42" s="72">
        <v>40996</v>
      </c>
      <c r="C42" s="87">
        <v>43220</v>
      </c>
      <c r="D42" s="71" t="s">
        <v>25</v>
      </c>
      <c r="E42" s="71">
        <v>60000</v>
      </c>
      <c r="F42" s="71"/>
      <c r="G42" s="90">
        <v>30</v>
      </c>
      <c r="H42" s="85"/>
      <c r="I42" s="71"/>
      <c r="J42" s="47"/>
      <c r="K42" s="90">
        <f>102881.35442+I42</f>
        <v>102881.35442</v>
      </c>
      <c r="L42" s="71"/>
      <c r="M42" s="73" t="s">
        <v>40</v>
      </c>
      <c r="N42" s="123" t="s">
        <v>149</v>
      </c>
    </row>
    <row r="43" spans="1:16" ht="36" customHeight="1">
      <c r="A43" s="214" t="s">
        <v>3</v>
      </c>
      <c r="B43" s="215">
        <v>41222</v>
      </c>
      <c r="C43" s="215">
        <v>43464</v>
      </c>
      <c r="D43" s="71" t="s">
        <v>24</v>
      </c>
      <c r="E43" s="71">
        <v>19800</v>
      </c>
      <c r="F43" s="71"/>
      <c r="G43" s="216">
        <v>8500</v>
      </c>
      <c r="H43" s="231"/>
      <c r="I43" s="216">
        <v>359.86912000000001</v>
      </c>
      <c r="J43" s="216"/>
      <c r="K43" s="216">
        <f>57667.72863+I43</f>
        <v>58027.597750000001</v>
      </c>
      <c r="L43" s="216"/>
      <c r="M43" s="73" t="s">
        <v>40</v>
      </c>
      <c r="N43" s="226" t="s">
        <v>150</v>
      </c>
    </row>
    <row r="44" spans="1:16" ht="53.25" customHeight="1">
      <c r="A44" s="214"/>
      <c r="B44" s="215"/>
      <c r="C44" s="215"/>
      <c r="D44" s="71" t="s">
        <v>25</v>
      </c>
      <c r="E44" s="71">
        <v>9000</v>
      </c>
      <c r="F44" s="71"/>
      <c r="G44" s="216"/>
      <c r="H44" s="231"/>
      <c r="I44" s="216"/>
      <c r="J44" s="216"/>
      <c r="K44" s="216"/>
      <c r="L44" s="216"/>
      <c r="M44" s="73"/>
      <c r="N44" s="226"/>
    </row>
    <row r="45" spans="1:16" ht="68.25" customHeight="1">
      <c r="A45" s="133" t="s">
        <v>55</v>
      </c>
      <c r="B45" s="72">
        <v>42223</v>
      </c>
      <c r="C45" s="72">
        <v>43830</v>
      </c>
      <c r="D45" s="71" t="s">
        <v>25</v>
      </c>
      <c r="E45" s="71">
        <v>60000</v>
      </c>
      <c r="F45" s="71"/>
      <c r="G45" s="90">
        <v>24000</v>
      </c>
      <c r="H45" s="85"/>
      <c r="I45" s="71">
        <v>46.665129999999998</v>
      </c>
      <c r="J45" s="71"/>
      <c r="K45" s="90">
        <f>31101.72865+I45</f>
        <v>31148.393780000002</v>
      </c>
      <c r="L45" s="71"/>
      <c r="M45" s="73"/>
      <c r="N45" s="123" t="s">
        <v>151</v>
      </c>
    </row>
    <row r="46" spans="1:16" s="10" customFormat="1" ht="60.75" customHeight="1">
      <c r="A46" s="133" t="s">
        <v>56</v>
      </c>
      <c r="B46" s="72">
        <v>42136</v>
      </c>
      <c r="C46" s="72">
        <v>43232</v>
      </c>
      <c r="D46" s="71" t="s">
        <v>31</v>
      </c>
      <c r="E46" s="71">
        <v>4300</v>
      </c>
      <c r="F46" s="71">
        <v>1843</v>
      </c>
      <c r="G46" s="90">
        <v>1000</v>
      </c>
      <c r="H46" s="85"/>
      <c r="I46" s="71"/>
      <c r="J46" s="71"/>
      <c r="K46" s="90">
        <f>119.7894+I46</f>
        <v>119.7894</v>
      </c>
      <c r="L46" s="71"/>
      <c r="M46" s="73"/>
      <c r="N46" s="123" t="s">
        <v>152</v>
      </c>
    </row>
    <row r="47" spans="1:16" s="10" customFormat="1" ht="78" customHeight="1">
      <c r="A47" s="176" t="s">
        <v>82</v>
      </c>
      <c r="B47" s="72">
        <v>42563</v>
      </c>
      <c r="C47" s="72">
        <v>43036</v>
      </c>
      <c r="D47" s="71" t="s">
        <v>31</v>
      </c>
      <c r="E47" s="71">
        <v>10000</v>
      </c>
      <c r="F47" s="71">
        <v>2000</v>
      </c>
      <c r="G47" s="90"/>
      <c r="H47" s="85">
        <v>500</v>
      </c>
      <c r="I47" s="71"/>
      <c r="J47" s="71"/>
      <c r="K47" s="90">
        <f>12332.76308+I47</f>
        <v>12332.763080000001</v>
      </c>
      <c r="L47" s="48">
        <f>5280.39061+J47</f>
        <v>5280.3906100000004</v>
      </c>
      <c r="M47" s="73"/>
      <c r="N47" s="123" t="s">
        <v>153</v>
      </c>
    </row>
    <row r="48" spans="1:16" s="4" customFormat="1" ht="126.75" customHeight="1">
      <c r="A48" s="133" t="s">
        <v>117</v>
      </c>
      <c r="B48" s="72">
        <v>43285</v>
      </c>
      <c r="C48" s="87">
        <v>44016</v>
      </c>
      <c r="D48" s="71" t="s">
        <v>31</v>
      </c>
      <c r="E48" s="71">
        <v>2830</v>
      </c>
      <c r="F48" s="71">
        <v>1870</v>
      </c>
      <c r="G48" s="90">
        <v>3000</v>
      </c>
      <c r="H48" s="85">
        <v>1000</v>
      </c>
      <c r="I48" s="71"/>
      <c r="J48" s="47"/>
      <c r="K48" s="90"/>
      <c r="L48" s="71"/>
      <c r="M48" s="73" t="s">
        <v>41</v>
      </c>
      <c r="N48" s="123" t="s">
        <v>154</v>
      </c>
    </row>
    <row r="49" spans="1:15" s="4" customFormat="1" ht="115.5" customHeight="1">
      <c r="A49" s="133" t="s">
        <v>61</v>
      </c>
      <c r="B49" s="72">
        <v>42411</v>
      </c>
      <c r="C49" s="72">
        <v>44238</v>
      </c>
      <c r="D49" s="71" t="s">
        <v>31</v>
      </c>
      <c r="E49" s="71">
        <v>100000</v>
      </c>
      <c r="F49" s="71"/>
      <c r="G49" s="90">
        <v>59500</v>
      </c>
      <c r="H49" s="85"/>
      <c r="I49" s="71">
        <v>683.19084999999995</v>
      </c>
      <c r="J49" s="71"/>
      <c r="K49" s="90">
        <f>127652.683+I49</f>
        <v>128335.87385</v>
      </c>
      <c r="L49" s="71"/>
      <c r="M49" s="73"/>
      <c r="N49" s="123" t="s">
        <v>155</v>
      </c>
    </row>
    <row r="50" spans="1:15" s="4" customFormat="1" ht="49.5" customHeight="1">
      <c r="A50" s="147" t="s">
        <v>68</v>
      </c>
      <c r="B50" s="143">
        <v>42713</v>
      </c>
      <c r="C50" s="143">
        <v>44561</v>
      </c>
      <c r="D50" s="140" t="s">
        <v>31</v>
      </c>
      <c r="E50" s="140">
        <v>100000</v>
      </c>
      <c r="F50" s="140"/>
      <c r="G50" s="140">
        <v>8000</v>
      </c>
      <c r="H50" s="141"/>
      <c r="I50" s="140"/>
      <c r="J50" s="140"/>
      <c r="K50" s="140"/>
      <c r="L50" s="140"/>
      <c r="M50" s="146"/>
      <c r="N50" s="145" t="s">
        <v>156</v>
      </c>
    </row>
    <row r="51" spans="1:15" s="4" customFormat="1" ht="49.5" customHeight="1">
      <c r="A51" s="147" t="s">
        <v>118</v>
      </c>
      <c r="B51" s="143">
        <v>43035</v>
      </c>
      <c r="C51" s="143">
        <v>44925</v>
      </c>
      <c r="D51" s="140" t="s">
        <v>31</v>
      </c>
      <c r="E51" s="140">
        <v>30000</v>
      </c>
      <c r="F51" s="140">
        <v>2000</v>
      </c>
      <c r="G51" s="140">
        <v>1000</v>
      </c>
      <c r="H51" s="141">
        <v>1000</v>
      </c>
      <c r="I51" s="140"/>
      <c r="J51" s="140"/>
      <c r="K51" s="140"/>
      <c r="L51" s="140"/>
      <c r="M51" s="146"/>
      <c r="N51" s="145" t="s">
        <v>180</v>
      </c>
    </row>
    <row r="52" spans="1:15" s="4" customFormat="1" ht="104.25" customHeight="1" thickBot="1">
      <c r="A52" s="135" t="s">
        <v>119</v>
      </c>
      <c r="B52" s="49" t="s">
        <v>159</v>
      </c>
      <c r="C52" s="49" t="s">
        <v>181</v>
      </c>
      <c r="D52" s="50" t="s">
        <v>31</v>
      </c>
      <c r="E52" s="50">
        <v>15000</v>
      </c>
      <c r="F52" s="50"/>
      <c r="G52" s="50">
        <v>20000</v>
      </c>
      <c r="H52" s="98"/>
      <c r="I52" s="50"/>
      <c r="J52" s="50"/>
      <c r="K52" s="51"/>
      <c r="L52" s="50"/>
      <c r="M52" s="52"/>
      <c r="N52" s="124" t="s">
        <v>182</v>
      </c>
    </row>
    <row r="53" spans="1:15" s="8" customFormat="1" ht="48" customHeight="1" thickBot="1">
      <c r="A53" s="223" t="s">
        <v>15</v>
      </c>
      <c r="B53" s="224"/>
      <c r="C53" s="224"/>
      <c r="D53" s="224"/>
      <c r="E53" s="224"/>
      <c r="F53" s="225"/>
      <c r="G53" s="40">
        <f>G54+G55+G58+G60+G61+G59+G57</f>
        <v>156290</v>
      </c>
      <c r="H53" s="97">
        <f t="shared" ref="H53:L53" si="2">H54+H55+H58+H60+H61+H59+H57</f>
        <v>11695</v>
      </c>
      <c r="I53" s="40">
        <f t="shared" si="2"/>
        <v>4050.1532800000004</v>
      </c>
      <c r="J53" s="40">
        <f t="shared" si="2"/>
        <v>347.08537999999999</v>
      </c>
      <c r="K53" s="40">
        <f>K54+K55+K58+K60+K61+K59+K57</f>
        <v>671423.62786400004</v>
      </c>
      <c r="L53" s="40">
        <f t="shared" si="2"/>
        <v>97967.507470000011</v>
      </c>
      <c r="M53" s="41"/>
      <c r="N53" s="121"/>
      <c r="O53" s="12"/>
    </row>
    <row r="54" spans="1:15" ht="84" customHeight="1">
      <c r="A54" s="136" t="s">
        <v>23</v>
      </c>
      <c r="B54" s="53">
        <v>39626</v>
      </c>
      <c r="C54" s="53">
        <v>43829</v>
      </c>
      <c r="D54" s="32" t="s">
        <v>31</v>
      </c>
      <c r="E54" s="32">
        <v>3700</v>
      </c>
      <c r="F54" s="32">
        <v>1814</v>
      </c>
      <c r="G54" s="88">
        <v>1500</v>
      </c>
      <c r="H54" s="99"/>
      <c r="I54" s="32"/>
      <c r="J54" s="54"/>
      <c r="K54" s="88">
        <f>6580.461404+I54</f>
        <v>6580.4614039999997</v>
      </c>
      <c r="L54" s="32">
        <f>3649.68102+J54</f>
        <v>3649.68102</v>
      </c>
      <c r="M54" s="55" t="s">
        <v>40</v>
      </c>
      <c r="N54" s="125" t="s">
        <v>157</v>
      </c>
    </row>
    <row r="55" spans="1:15" ht="299.25" customHeight="1">
      <c r="A55" s="233" t="s">
        <v>4</v>
      </c>
      <c r="B55" s="188">
        <v>40673</v>
      </c>
      <c r="C55" s="188">
        <v>43738</v>
      </c>
      <c r="D55" s="33" t="s">
        <v>24</v>
      </c>
      <c r="E55" s="33">
        <f>51343+25047+64205+23005</f>
        <v>163600</v>
      </c>
      <c r="F55" s="193"/>
      <c r="G55" s="193">
        <v>122700</v>
      </c>
      <c r="H55" s="210"/>
      <c r="I55" s="193">
        <v>3397.1961500000002</v>
      </c>
      <c r="J55" s="211"/>
      <c r="K55" s="193">
        <f>491362.10463+I55</f>
        <v>494759.30077999999</v>
      </c>
      <c r="L55" s="193"/>
      <c r="M55" s="34" t="s">
        <v>7</v>
      </c>
      <c r="N55" s="182" t="s">
        <v>158</v>
      </c>
    </row>
    <row r="56" spans="1:15" ht="299.25" customHeight="1">
      <c r="A56" s="233"/>
      <c r="B56" s="188"/>
      <c r="C56" s="188"/>
      <c r="D56" s="33" t="s">
        <v>25</v>
      </c>
      <c r="E56" s="33">
        <f>108000+43000+99000</f>
        <v>250000</v>
      </c>
      <c r="F56" s="193"/>
      <c r="G56" s="193"/>
      <c r="H56" s="210"/>
      <c r="I56" s="193"/>
      <c r="J56" s="211"/>
      <c r="K56" s="193"/>
      <c r="L56" s="193"/>
      <c r="M56" s="34"/>
      <c r="N56" s="183"/>
    </row>
    <row r="57" spans="1:15" s="14" customFormat="1" ht="75.75" customHeight="1">
      <c r="A57" s="75" t="s">
        <v>107</v>
      </c>
      <c r="B57" s="107" t="s">
        <v>160</v>
      </c>
      <c r="C57" s="107" t="s">
        <v>161</v>
      </c>
      <c r="D57" s="112" t="s">
        <v>31</v>
      </c>
      <c r="E57" s="106">
        <v>100</v>
      </c>
      <c r="F57" s="82"/>
      <c r="G57" s="89"/>
      <c r="H57" s="76">
        <v>2500</v>
      </c>
      <c r="I57" s="82"/>
      <c r="J57" s="92"/>
      <c r="K57" s="89">
        <f>35.07802+I57</f>
        <v>35.078020000000002</v>
      </c>
      <c r="L57" s="82"/>
      <c r="M57" s="93"/>
      <c r="N57" s="114" t="s">
        <v>162</v>
      </c>
    </row>
    <row r="58" spans="1:15" ht="203.25" customHeight="1">
      <c r="A58" s="75" t="s">
        <v>69</v>
      </c>
      <c r="B58" s="20">
        <v>40773</v>
      </c>
      <c r="C58" s="20">
        <v>43830</v>
      </c>
      <c r="D58" s="56" t="s">
        <v>31</v>
      </c>
      <c r="E58" s="56">
        <f>2988.339+4000+20000</f>
        <v>26988.339</v>
      </c>
      <c r="F58" s="56">
        <f>4500+6728.536+9000+4000+7000</f>
        <v>31228.536</v>
      </c>
      <c r="G58" s="89">
        <v>18400</v>
      </c>
      <c r="H58" s="76">
        <v>2850</v>
      </c>
      <c r="I58" s="56"/>
      <c r="J58" s="56"/>
      <c r="K58" s="89">
        <f>46200.7648+I58</f>
        <v>46200.764799999997</v>
      </c>
      <c r="L58" s="56">
        <f>57507.50654+J58</f>
        <v>57507.506540000002</v>
      </c>
      <c r="M58" s="33" t="s">
        <v>8</v>
      </c>
      <c r="N58" s="74" t="s">
        <v>83</v>
      </c>
    </row>
    <row r="59" spans="1:15" ht="42" customHeight="1">
      <c r="A59" s="75" t="s">
        <v>78</v>
      </c>
      <c r="B59" s="20">
        <v>42360</v>
      </c>
      <c r="C59" s="20">
        <v>44012</v>
      </c>
      <c r="D59" s="33" t="s">
        <v>31</v>
      </c>
      <c r="E59" s="33">
        <v>30000</v>
      </c>
      <c r="F59" s="33">
        <v>2000</v>
      </c>
      <c r="G59" s="89">
        <v>9690</v>
      </c>
      <c r="H59" s="76">
        <v>4345</v>
      </c>
      <c r="I59" s="33"/>
      <c r="J59" s="33"/>
      <c r="K59" s="89">
        <f>34681.49112+I59</f>
        <v>34681.491119999999</v>
      </c>
      <c r="L59" s="33">
        <f>3499.04143+J59</f>
        <v>3499.0414300000002</v>
      </c>
      <c r="M59" s="33"/>
      <c r="N59" s="74" t="s">
        <v>163</v>
      </c>
    </row>
    <row r="60" spans="1:15" ht="35.1" customHeight="1">
      <c r="A60" s="75" t="s">
        <v>84</v>
      </c>
      <c r="B60" s="20">
        <v>41506</v>
      </c>
      <c r="C60" s="36">
        <v>43332</v>
      </c>
      <c r="D60" s="33" t="s">
        <v>31</v>
      </c>
      <c r="E60" s="33">
        <v>40000</v>
      </c>
      <c r="F60" s="33">
        <v>8000</v>
      </c>
      <c r="G60" s="89">
        <v>4000</v>
      </c>
      <c r="H60" s="76">
        <v>700</v>
      </c>
      <c r="I60" s="33">
        <v>652.95713000000001</v>
      </c>
      <c r="J60" s="56">
        <v>347.08537999999999</v>
      </c>
      <c r="K60" s="89">
        <f>88513.57461+I60</f>
        <v>89166.531739999991</v>
      </c>
      <c r="L60" s="33">
        <f>17820.5113+J60</f>
        <v>18167.596679999999</v>
      </c>
      <c r="M60" s="34" t="s">
        <v>40</v>
      </c>
      <c r="N60" s="74" t="s">
        <v>164</v>
      </c>
    </row>
    <row r="61" spans="1:15" ht="41.45" customHeight="1" thickBot="1">
      <c r="A61" s="137" t="s">
        <v>36</v>
      </c>
      <c r="B61" s="37">
        <v>41480</v>
      </c>
      <c r="C61" s="37">
        <v>43281</v>
      </c>
      <c r="D61" s="38" t="s">
        <v>25</v>
      </c>
      <c r="E61" s="38"/>
      <c r="F61" s="38">
        <v>10052.155000000001</v>
      </c>
      <c r="G61" s="38"/>
      <c r="H61" s="86">
        <v>1300</v>
      </c>
      <c r="I61" s="38"/>
      <c r="J61" s="57"/>
      <c r="K61" s="38"/>
      <c r="L61" s="38">
        <f>15143.6818+J61</f>
        <v>15143.6818</v>
      </c>
      <c r="M61" s="39" t="s">
        <v>40</v>
      </c>
      <c r="N61" s="80" t="s">
        <v>93</v>
      </c>
    </row>
    <row r="62" spans="1:15" s="8" customFormat="1" ht="30" customHeight="1" thickBot="1">
      <c r="A62" s="223" t="s">
        <v>11</v>
      </c>
      <c r="B62" s="224"/>
      <c r="C62" s="224"/>
      <c r="D62" s="224"/>
      <c r="E62" s="224"/>
      <c r="F62" s="225"/>
      <c r="G62" s="40">
        <f>G63+G64+G68+G65+G67+G66+G69+G70+G71+G72+G73+G74+G75+G76+G77</f>
        <v>86600</v>
      </c>
      <c r="H62" s="97">
        <f t="shared" ref="H62:L62" si="3">H63+H64+H68+H65+H67+H66+H69+H70+H71+H72+H73+H74+H75+H76+H77</f>
        <v>14000</v>
      </c>
      <c r="I62" s="40">
        <f t="shared" si="3"/>
        <v>1391.0420900000001</v>
      </c>
      <c r="J62" s="40">
        <f t="shared" si="3"/>
        <v>0</v>
      </c>
      <c r="K62" s="40">
        <f t="shared" si="3"/>
        <v>259594.767655</v>
      </c>
      <c r="L62" s="40">
        <f t="shared" si="3"/>
        <v>20950.680079999998</v>
      </c>
      <c r="M62" s="41"/>
      <c r="N62" s="121"/>
    </row>
    <row r="63" spans="1:15" ht="114" customHeight="1">
      <c r="A63" s="136" t="s">
        <v>114</v>
      </c>
      <c r="B63" s="117">
        <v>43105</v>
      </c>
      <c r="C63" s="117" t="s">
        <v>113</v>
      </c>
      <c r="D63" s="115" t="s">
        <v>31</v>
      </c>
      <c r="E63" s="115">
        <v>28000</v>
      </c>
      <c r="F63" s="115">
        <v>7000</v>
      </c>
      <c r="G63" s="88">
        <v>15000</v>
      </c>
      <c r="H63" s="99">
        <v>10000</v>
      </c>
      <c r="I63" s="161">
        <v>238.38191</v>
      </c>
      <c r="J63" s="91"/>
      <c r="K63" s="88">
        <f>2588.27771+I63</f>
        <v>2826.6596199999999</v>
      </c>
      <c r="L63" s="88"/>
      <c r="M63" s="55" t="s">
        <v>9</v>
      </c>
      <c r="N63" s="125" t="s">
        <v>165</v>
      </c>
    </row>
    <row r="64" spans="1:15" ht="54.6" customHeight="1">
      <c r="A64" s="138" t="s">
        <v>85</v>
      </c>
      <c r="B64" s="234">
        <v>41572</v>
      </c>
      <c r="C64" s="234">
        <v>44012</v>
      </c>
      <c r="D64" s="180" t="s">
        <v>31</v>
      </c>
      <c r="E64" s="180">
        <f>25200+35000</f>
        <v>60200</v>
      </c>
      <c r="F64" s="33">
        <v>8000</v>
      </c>
      <c r="G64" s="89">
        <v>6400</v>
      </c>
      <c r="H64" s="76"/>
      <c r="I64" s="33"/>
      <c r="J64" s="33"/>
      <c r="K64" s="89">
        <f>92412.661955+I64</f>
        <v>92412.661955000003</v>
      </c>
      <c r="L64" s="33">
        <v>20950.680079999998</v>
      </c>
      <c r="M64" s="34" t="s">
        <v>33</v>
      </c>
      <c r="N64" s="229" t="s">
        <v>166</v>
      </c>
    </row>
    <row r="65" spans="1:14" s="10" customFormat="1" ht="57" customHeight="1">
      <c r="A65" s="138" t="s">
        <v>86</v>
      </c>
      <c r="B65" s="235"/>
      <c r="C65" s="235"/>
      <c r="D65" s="237"/>
      <c r="E65" s="237"/>
      <c r="F65" s="33"/>
      <c r="G65" s="89">
        <v>4700</v>
      </c>
      <c r="H65" s="76"/>
      <c r="I65" s="33">
        <v>1152.6601800000001</v>
      </c>
      <c r="J65" s="33"/>
      <c r="K65" s="89">
        <f>45219.89027+I65</f>
        <v>46372.550450000002</v>
      </c>
      <c r="L65" s="33"/>
      <c r="M65" s="34"/>
      <c r="N65" s="229"/>
    </row>
    <row r="66" spans="1:14" ht="60" customHeight="1">
      <c r="A66" s="75" t="s">
        <v>73</v>
      </c>
      <c r="B66" s="236"/>
      <c r="C66" s="236"/>
      <c r="D66" s="181"/>
      <c r="E66" s="181"/>
      <c r="F66" s="33"/>
      <c r="G66" s="89"/>
      <c r="H66" s="76"/>
      <c r="I66" s="33"/>
      <c r="J66" s="56"/>
      <c r="K66" s="89">
        <v>5120.6747100000002</v>
      </c>
      <c r="L66" s="33"/>
      <c r="M66" s="34"/>
      <c r="N66" s="116" t="s">
        <v>167</v>
      </c>
    </row>
    <row r="67" spans="1:14" ht="87.75" customHeight="1">
      <c r="A67" s="75" t="s">
        <v>72</v>
      </c>
      <c r="B67" s="20">
        <v>42838</v>
      </c>
      <c r="C67" s="36">
        <v>44742</v>
      </c>
      <c r="D67" s="81" t="s">
        <v>31</v>
      </c>
      <c r="E67" s="79">
        <v>125000</v>
      </c>
      <c r="F67" s="33"/>
      <c r="G67" s="160">
        <v>5000</v>
      </c>
      <c r="H67" s="162">
        <v>4000</v>
      </c>
      <c r="I67" s="33"/>
      <c r="J67" s="56"/>
      <c r="K67" s="89"/>
      <c r="L67" s="33"/>
      <c r="M67" s="34"/>
      <c r="N67" s="116" t="s">
        <v>168</v>
      </c>
    </row>
    <row r="68" spans="1:14" ht="61.5" customHeight="1">
      <c r="A68" s="75" t="s">
        <v>62</v>
      </c>
      <c r="B68" s="188">
        <v>41885</v>
      </c>
      <c r="C68" s="188">
        <v>43555</v>
      </c>
      <c r="D68" s="33" t="s">
        <v>25</v>
      </c>
      <c r="E68" s="193">
        <v>60000</v>
      </c>
      <c r="F68" s="33"/>
      <c r="G68" s="89">
        <v>10000</v>
      </c>
      <c r="H68" s="76"/>
      <c r="I68" s="33"/>
      <c r="J68" s="56"/>
      <c r="K68" s="89">
        <f>112430.30228+I68</f>
        <v>112430.30228</v>
      </c>
      <c r="L68" s="33"/>
      <c r="M68" s="34"/>
      <c r="N68" s="74" t="s">
        <v>169</v>
      </c>
    </row>
    <row r="69" spans="1:14" ht="64.5" customHeight="1">
      <c r="A69" s="75" t="s">
        <v>74</v>
      </c>
      <c r="B69" s="188"/>
      <c r="C69" s="188"/>
      <c r="D69" s="33" t="s">
        <v>25</v>
      </c>
      <c r="E69" s="240"/>
      <c r="F69" s="33"/>
      <c r="G69" s="89"/>
      <c r="H69" s="76"/>
      <c r="I69" s="33"/>
      <c r="J69" s="56"/>
      <c r="K69" s="89">
        <f>431.91864+I69</f>
        <v>431.91863999999998</v>
      </c>
      <c r="L69" s="33"/>
      <c r="M69" s="34"/>
      <c r="N69" s="74" t="s">
        <v>90</v>
      </c>
    </row>
    <row r="70" spans="1:14" ht="156" customHeight="1">
      <c r="A70" s="75" t="s">
        <v>75</v>
      </c>
      <c r="B70" s="20"/>
      <c r="C70" s="20"/>
      <c r="D70" s="33"/>
      <c r="E70" s="33"/>
      <c r="F70" s="33"/>
      <c r="G70" s="89"/>
      <c r="H70" s="76"/>
      <c r="I70" s="33"/>
      <c r="J70" s="56"/>
      <c r="K70" s="89"/>
      <c r="L70" s="33"/>
      <c r="M70" s="34"/>
      <c r="N70" s="116" t="s">
        <v>89</v>
      </c>
    </row>
    <row r="71" spans="1:14" ht="79.5" customHeight="1">
      <c r="A71" s="75" t="s">
        <v>76</v>
      </c>
      <c r="B71" s="20"/>
      <c r="C71" s="20"/>
      <c r="D71" s="33"/>
      <c r="E71" s="33"/>
      <c r="F71" s="33"/>
      <c r="G71" s="89"/>
      <c r="H71" s="76"/>
      <c r="I71" s="33"/>
      <c r="J71" s="56"/>
      <c r="K71" s="89"/>
      <c r="L71" s="33"/>
      <c r="M71" s="34"/>
      <c r="N71" s="74" t="s">
        <v>80</v>
      </c>
    </row>
    <row r="72" spans="1:14" ht="107.25" customHeight="1" thickBot="1">
      <c r="A72" s="137" t="s">
        <v>77</v>
      </c>
      <c r="B72" s="37"/>
      <c r="C72" s="37"/>
      <c r="D72" s="38"/>
      <c r="E72" s="38"/>
      <c r="F72" s="38"/>
      <c r="G72" s="38"/>
      <c r="H72" s="86"/>
      <c r="I72" s="38"/>
      <c r="J72" s="57"/>
      <c r="K72" s="38"/>
      <c r="L72" s="38"/>
      <c r="M72" s="39"/>
      <c r="N72" s="80" t="s">
        <v>81</v>
      </c>
    </row>
    <row r="73" spans="1:14" s="14" customFormat="1" ht="142.15" customHeight="1">
      <c r="A73" s="158" t="s">
        <v>124</v>
      </c>
      <c r="B73" s="152"/>
      <c r="C73" s="36"/>
      <c r="D73" s="81" t="s">
        <v>31</v>
      </c>
      <c r="E73" s="153"/>
      <c r="F73" s="153"/>
      <c r="G73" s="153">
        <v>13500</v>
      </c>
      <c r="H73" s="154"/>
      <c r="I73" s="153"/>
      <c r="J73" s="155"/>
      <c r="K73" s="153"/>
      <c r="L73" s="153"/>
      <c r="M73" s="156"/>
      <c r="N73" s="163" t="s">
        <v>89</v>
      </c>
    </row>
    <row r="74" spans="1:14" s="14" customFormat="1" ht="70.900000000000006" customHeight="1">
      <c r="A74" s="158" t="s">
        <v>76</v>
      </c>
      <c r="B74" s="152"/>
      <c r="C74" s="36"/>
      <c r="D74" s="81" t="s">
        <v>25</v>
      </c>
      <c r="E74" s="153"/>
      <c r="F74" s="153"/>
      <c r="G74" s="153">
        <v>9000</v>
      </c>
      <c r="H74" s="154"/>
      <c r="I74" s="153"/>
      <c r="J74" s="155"/>
      <c r="K74" s="153"/>
      <c r="L74" s="153"/>
      <c r="M74" s="156"/>
      <c r="N74" s="164" t="s">
        <v>80</v>
      </c>
    </row>
    <row r="75" spans="1:14" s="14" customFormat="1" ht="110.25" customHeight="1">
      <c r="A75" s="158" t="s">
        <v>120</v>
      </c>
      <c r="B75" s="152"/>
      <c r="C75" s="36"/>
      <c r="D75" s="81" t="s">
        <v>31</v>
      </c>
      <c r="E75" s="153"/>
      <c r="F75" s="153"/>
      <c r="G75" s="153">
        <v>4500</v>
      </c>
      <c r="H75" s="154"/>
      <c r="I75" s="153"/>
      <c r="J75" s="155"/>
      <c r="K75" s="153"/>
      <c r="L75" s="153"/>
      <c r="M75" s="156"/>
      <c r="N75" s="164" t="s">
        <v>81</v>
      </c>
    </row>
    <row r="76" spans="1:14" s="14" customFormat="1" ht="62.25" customHeight="1">
      <c r="A76" s="158" t="s">
        <v>121</v>
      </c>
      <c r="B76" s="152"/>
      <c r="C76" s="36"/>
      <c r="D76" s="81" t="s">
        <v>31</v>
      </c>
      <c r="E76" s="153"/>
      <c r="F76" s="153"/>
      <c r="G76" s="153">
        <v>9500</v>
      </c>
      <c r="H76" s="154"/>
      <c r="I76" s="153"/>
      <c r="J76" s="155"/>
      <c r="K76" s="153"/>
      <c r="L76" s="153"/>
      <c r="M76" s="156"/>
      <c r="N76" s="157" t="s">
        <v>183</v>
      </c>
    </row>
    <row r="77" spans="1:14" s="14" customFormat="1" ht="65.25" customHeight="1" thickBot="1">
      <c r="A77" s="165" t="s">
        <v>122</v>
      </c>
      <c r="B77" s="166"/>
      <c r="C77" s="166"/>
      <c r="D77" s="167" t="s">
        <v>31</v>
      </c>
      <c r="E77" s="167"/>
      <c r="F77" s="167"/>
      <c r="G77" s="167">
        <v>9000</v>
      </c>
      <c r="H77" s="168"/>
      <c r="I77" s="167"/>
      <c r="J77" s="169"/>
      <c r="K77" s="167"/>
      <c r="L77" s="167"/>
      <c r="M77" s="170"/>
      <c r="N77" s="171" t="s">
        <v>183</v>
      </c>
    </row>
    <row r="78" spans="1:14" s="8" customFormat="1" ht="24.75" customHeight="1" thickBot="1">
      <c r="A78" s="223" t="s">
        <v>17</v>
      </c>
      <c r="B78" s="224"/>
      <c r="C78" s="224"/>
      <c r="D78" s="224"/>
      <c r="E78" s="224"/>
      <c r="F78" s="225"/>
      <c r="G78" s="40">
        <f>G79+G82+G84+G83</f>
        <v>19830</v>
      </c>
      <c r="H78" s="97">
        <f>H79+H82+H84+H83</f>
        <v>4310</v>
      </c>
      <c r="I78" s="40">
        <f t="shared" ref="I78:L78" si="4">I79+I82+I84+I83</f>
        <v>654.10402999999997</v>
      </c>
      <c r="J78" s="40">
        <f t="shared" si="4"/>
        <v>290.22904</v>
      </c>
      <c r="K78" s="40">
        <f t="shared" si="4"/>
        <v>66499.64319599999</v>
      </c>
      <c r="L78" s="40">
        <f t="shared" si="4"/>
        <v>6893.7125799999994</v>
      </c>
      <c r="M78" s="41"/>
      <c r="N78" s="121"/>
    </row>
    <row r="79" spans="1:14" ht="120" customHeight="1">
      <c r="A79" s="232" t="s">
        <v>52</v>
      </c>
      <c r="B79" s="58">
        <v>42052</v>
      </c>
      <c r="C79" s="59">
        <v>43513</v>
      </c>
      <c r="D79" s="32" t="s">
        <v>24</v>
      </c>
      <c r="E79" s="32">
        <v>8610</v>
      </c>
      <c r="F79" s="32"/>
      <c r="G79" s="194">
        <v>6730</v>
      </c>
      <c r="H79" s="213">
        <v>4070</v>
      </c>
      <c r="I79" s="194">
        <v>389.52134999999998</v>
      </c>
      <c r="J79" s="194">
        <v>290.22904</v>
      </c>
      <c r="K79" s="194">
        <f>16279.05301+I79</f>
        <v>16668.574359999999</v>
      </c>
      <c r="L79" s="194">
        <f>6102.55654+J79</f>
        <v>6392.7855799999998</v>
      </c>
      <c r="M79" s="55"/>
      <c r="N79" s="227" t="s">
        <v>170</v>
      </c>
    </row>
    <row r="80" spans="1:14" ht="120" customHeight="1">
      <c r="A80" s="233"/>
      <c r="B80" s="36">
        <v>41978</v>
      </c>
      <c r="C80" s="60">
        <v>42735</v>
      </c>
      <c r="D80" s="33" t="s">
        <v>25</v>
      </c>
      <c r="E80" s="33"/>
      <c r="F80" s="33">
        <v>500</v>
      </c>
      <c r="G80" s="193"/>
      <c r="H80" s="210"/>
      <c r="I80" s="193"/>
      <c r="J80" s="193"/>
      <c r="K80" s="193"/>
      <c r="L80" s="193"/>
      <c r="M80" s="34"/>
      <c r="N80" s="228"/>
    </row>
    <row r="81" spans="1:14" ht="238.5" customHeight="1">
      <c r="A81" s="233"/>
      <c r="B81" s="36">
        <v>42052</v>
      </c>
      <c r="C81" s="61">
        <v>43513</v>
      </c>
      <c r="D81" s="33" t="s">
        <v>25</v>
      </c>
      <c r="E81" s="33"/>
      <c r="F81" s="33">
        <v>5300</v>
      </c>
      <c r="G81" s="193"/>
      <c r="H81" s="210"/>
      <c r="I81" s="193"/>
      <c r="J81" s="193"/>
      <c r="K81" s="193"/>
      <c r="L81" s="193"/>
      <c r="M81" s="34"/>
      <c r="N81" s="228"/>
    </row>
    <row r="82" spans="1:14" ht="64.5" customHeight="1">
      <c r="A82" s="233" t="s">
        <v>54</v>
      </c>
      <c r="B82" s="188">
        <v>41964</v>
      </c>
      <c r="C82" s="188">
        <v>43677</v>
      </c>
      <c r="D82" s="211" t="s">
        <v>24</v>
      </c>
      <c r="E82" s="193">
        <v>32400</v>
      </c>
      <c r="F82" s="193"/>
      <c r="G82" s="153">
        <v>11000</v>
      </c>
      <c r="H82" s="153"/>
      <c r="I82" s="33">
        <v>78.82114</v>
      </c>
      <c r="J82" s="56"/>
      <c r="K82" s="89">
        <f>45181.823066+I82</f>
        <v>45260.644205999997</v>
      </c>
      <c r="L82" s="33"/>
      <c r="M82" s="34"/>
      <c r="N82" s="74" t="s">
        <v>171</v>
      </c>
    </row>
    <row r="83" spans="1:14" ht="73.5" customHeight="1">
      <c r="A83" s="233"/>
      <c r="B83" s="188"/>
      <c r="C83" s="188"/>
      <c r="D83" s="211"/>
      <c r="E83" s="193"/>
      <c r="F83" s="193"/>
      <c r="G83" s="153">
        <v>2100</v>
      </c>
      <c r="H83" s="153"/>
      <c r="I83" s="33">
        <v>185.76154</v>
      </c>
      <c r="J83" s="56"/>
      <c r="K83" s="89">
        <f>4384.66309+I83</f>
        <v>4570.4246300000004</v>
      </c>
      <c r="L83" s="33"/>
      <c r="M83" s="34"/>
      <c r="N83" s="74" t="s">
        <v>172</v>
      </c>
    </row>
    <row r="84" spans="1:14" ht="82.5" customHeight="1" thickBot="1">
      <c r="A84" s="137" t="s">
        <v>53</v>
      </c>
      <c r="B84" s="37">
        <v>41946</v>
      </c>
      <c r="C84" s="62">
        <v>43190</v>
      </c>
      <c r="D84" s="57" t="s">
        <v>31</v>
      </c>
      <c r="E84" s="38"/>
      <c r="F84" s="38">
        <v>861</v>
      </c>
      <c r="G84" s="38"/>
      <c r="H84" s="86">
        <v>240</v>
      </c>
      <c r="I84" s="86"/>
      <c r="J84" s="38"/>
      <c r="K84" s="38"/>
      <c r="L84" s="38">
        <f>500.927+J84</f>
        <v>500.92700000000002</v>
      </c>
      <c r="M84" s="39"/>
      <c r="N84" s="80" t="s">
        <v>173</v>
      </c>
    </row>
    <row r="85" spans="1:14" s="8" customFormat="1" ht="29.25" customHeight="1" thickBot="1">
      <c r="A85" s="223" t="s">
        <v>19</v>
      </c>
      <c r="B85" s="224"/>
      <c r="C85" s="224"/>
      <c r="D85" s="224"/>
      <c r="E85" s="224"/>
      <c r="F85" s="225"/>
      <c r="G85" s="40">
        <f>G86+G87</f>
        <v>0</v>
      </c>
      <c r="H85" s="97">
        <f t="shared" ref="H85:L85" si="5">H86+H87</f>
        <v>4645</v>
      </c>
      <c r="I85" s="40">
        <f t="shared" si="5"/>
        <v>0</v>
      </c>
      <c r="J85" s="40">
        <f t="shared" si="5"/>
        <v>0</v>
      </c>
      <c r="K85" s="40">
        <f t="shared" si="5"/>
        <v>0</v>
      </c>
      <c r="L85" s="40">
        <f t="shared" si="5"/>
        <v>22062.834009999999</v>
      </c>
      <c r="M85" s="63"/>
      <c r="N85" s="97"/>
    </row>
    <row r="86" spans="1:14" ht="199.5" customHeight="1">
      <c r="A86" s="136" t="s">
        <v>16</v>
      </c>
      <c r="B86" s="58">
        <v>40119</v>
      </c>
      <c r="C86" s="53">
        <v>43465</v>
      </c>
      <c r="D86" s="32" t="s">
        <v>31</v>
      </c>
      <c r="E86" s="32"/>
      <c r="F86" s="32">
        <v>2267</v>
      </c>
      <c r="G86" s="88"/>
      <c r="H86" s="99">
        <v>1345</v>
      </c>
      <c r="I86" s="32"/>
      <c r="J86" s="54"/>
      <c r="K86" s="88"/>
      <c r="L86" s="32">
        <f>6077.20889+J86</f>
        <v>6077.2088899999999</v>
      </c>
      <c r="M86" s="55" t="s">
        <v>44</v>
      </c>
      <c r="N86" s="125" t="s">
        <v>174</v>
      </c>
    </row>
    <row r="87" spans="1:14" ht="230.25" customHeight="1" thickBot="1">
      <c r="A87" s="137" t="s">
        <v>5</v>
      </c>
      <c r="B87" s="62">
        <v>40589</v>
      </c>
      <c r="C87" s="62" t="s">
        <v>94</v>
      </c>
      <c r="D87" s="57" t="s">
        <v>31</v>
      </c>
      <c r="E87" s="38"/>
      <c r="F87" s="38">
        <v>8250</v>
      </c>
      <c r="G87" s="38"/>
      <c r="H87" s="86">
        <v>3300</v>
      </c>
      <c r="I87" s="38"/>
      <c r="J87" s="38"/>
      <c r="K87" s="38"/>
      <c r="L87" s="38">
        <f>15985.62512+J87</f>
        <v>15985.625120000001</v>
      </c>
      <c r="M87" s="39" t="s">
        <v>44</v>
      </c>
      <c r="N87" s="126" t="s">
        <v>175</v>
      </c>
    </row>
    <row r="88" spans="1:14" s="8" customFormat="1" ht="33" customHeight="1" thickBot="1">
      <c r="A88" s="223" t="s">
        <v>18</v>
      </c>
      <c r="B88" s="224"/>
      <c r="C88" s="224"/>
      <c r="D88" s="224"/>
      <c r="E88" s="224"/>
      <c r="F88" s="225"/>
      <c r="G88" s="40">
        <f>G89+G94+G91+G92+G90+G93</f>
        <v>146300</v>
      </c>
      <c r="H88" s="97">
        <f t="shared" ref="H88:L88" si="6">H89+H94+H91+H92+H90+H93</f>
        <v>42900</v>
      </c>
      <c r="I88" s="40">
        <f t="shared" si="6"/>
        <v>482.08900999999997</v>
      </c>
      <c r="J88" s="40">
        <f t="shared" si="6"/>
        <v>5156.8472899999997</v>
      </c>
      <c r="K88" s="40">
        <f t="shared" si="6"/>
        <v>239904.42416999998</v>
      </c>
      <c r="L88" s="40">
        <f t="shared" si="6"/>
        <v>286955.75928140001</v>
      </c>
      <c r="M88" s="63"/>
      <c r="N88" s="97"/>
    </row>
    <row r="89" spans="1:14" ht="391.5" customHeight="1" thickBot="1">
      <c r="A89" s="136" t="s">
        <v>49</v>
      </c>
      <c r="B89" s="58">
        <v>41103</v>
      </c>
      <c r="C89" s="58">
        <v>43307</v>
      </c>
      <c r="D89" s="54" t="s">
        <v>25</v>
      </c>
      <c r="E89" s="32"/>
      <c r="F89" s="32">
        <f>140000+2700</f>
        <v>142700</v>
      </c>
      <c r="G89" s="88"/>
      <c r="H89" s="99">
        <v>38900</v>
      </c>
      <c r="I89" s="32"/>
      <c r="J89" s="54">
        <v>5156.8472899999997</v>
      </c>
      <c r="K89" s="88"/>
      <c r="L89" s="32">
        <f>281798.9119914+J89</f>
        <v>286955.75928140001</v>
      </c>
      <c r="M89" s="55" t="s">
        <v>14</v>
      </c>
      <c r="N89" s="126" t="s">
        <v>176</v>
      </c>
    </row>
    <row r="90" spans="1:14" ht="54" customHeight="1">
      <c r="A90" s="75" t="s">
        <v>71</v>
      </c>
      <c r="B90" s="20">
        <v>42661</v>
      </c>
      <c r="C90" s="20">
        <v>44377</v>
      </c>
      <c r="D90" s="33" t="s">
        <v>31</v>
      </c>
      <c r="E90" s="33">
        <v>14000</v>
      </c>
      <c r="F90" s="33"/>
      <c r="G90" s="89">
        <v>1500</v>
      </c>
      <c r="H90" s="76">
        <v>1000</v>
      </c>
      <c r="I90" s="33"/>
      <c r="J90" s="33"/>
      <c r="K90" s="89"/>
      <c r="L90" s="35">
        <v>0</v>
      </c>
      <c r="M90" s="34"/>
      <c r="N90" s="74" t="s">
        <v>177</v>
      </c>
    </row>
    <row r="91" spans="1:14" ht="62.25" customHeight="1">
      <c r="A91" s="138" t="s">
        <v>60</v>
      </c>
      <c r="B91" s="20">
        <v>42346</v>
      </c>
      <c r="C91" s="20">
        <v>43228</v>
      </c>
      <c r="D91" s="33" t="s">
        <v>31</v>
      </c>
      <c r="E91" s="33">
        <v>82821</v>
      </c>
      <c r="F91" s="33"/>
      <c r="G91" s="89">
        <v>55000</v>
      </c>
      <c r="H91" s="76"/>
      <c r="I91" s="33"/>
      <c r="J91" s="33"/>
      <c r="K91" s="89">
        <f>226048.34892+I91</f>
        <v>226048.34891999999</v>
      </c>
      <c r="L91" s="33"/>
      <c r="M91" s="34"/>
      <c r="N91" s="74" t="s">
        <v>91</v>
      </c>
    </row>
    <row r="92" spans="1:14" ht="38.25" customHeight="1">
      <c r="A92" s="138" t="s">
        <v>70</v>
      </c>
      <c r="B92" s="20">
        <v>42929</v>
      </c>
      <c r="C92" s="20">
        <v>43830</v>
      </c>
      <c r="D92" s="33" t="s">
        <v>31</v>
      </c>
      <c r="E92" s="33">
        <v>5500</v>
      </c>
      <c r="F92" s="33">
        <v>1500</v>
      </c>
      <c r="G92" s="89">
        <v>4800</v>
      </c>
      <c r="H92" s="76">
        <v>3000</v>
      </c>
      <c r="I92" s="33"/>
      <c r="J92" s="33"/>
      <c r="K92" s="160">
        <f>8749.28036+I92</f>
        <v>8749.2803600000007</v>
      </c>
      <c r="L92" s="35">
        <v>0</v>
      </c>
      <c r="M92" s="34"/>
      <c r="N92" s="177" t="s">
        <v>178</v>
      </c>
    </row>
    <row r="93" spans="1:14" s="14" customFormat="1" ht="38.25" customHeight="1">
      <c r="A93" s="172" t="s">
        <v>123</v>
      </c>
      <c r="B93" s="159"/>
      <c r="C93" s="159"/>
      <c r="D93" s="150"/>
      <c r="E93" s="150"/>
      <c r="F93" s="150"/>
      <c r="G93" s="150">
        <v>75000</v>
      </c>
      <c r="H93" s="151"/>
      <c r="I93" s="150"/>
      <c r="J93" s="150"/>
      <c r="K93" s="173"/>
      <c r="L93" s="173"/>
      <c r="M93" s="174"/>
      <c r="N93" s="175" t="s">
        <v>183</v>
      </c>
    </row>
    <row r="94" spans="1:14" s="10" customFormat="1" ht="243.75" customHeight="1" thickBot="1">
      <c r="A94" s="137" t="s">
        <v>59</v>
      </c>
      <c r="B94" s="62">
        <v>42457</v>
      </c>
      <c r="C94" s="62">
        <v>44316</v>
      </c>
      <c r="D94" s="57" t="s">
        <v>25</v>
      </c>
      <c r="E94" s="38">
        <v>40000</v>
      </c>
      <c r="F94" s="38"/>
      <c r="G94" s="38">
        <v>10000</v>
      </c>
      <c r="H94" s="86"/>
      <c r="I94" s="38">
        <v>482.08900999999997</v>
      </c>
      <c r="J94" s="38"/>
      <c r="K94" s="38">
        <f>4624.70588+I94</f>
        <v>5106.7948900000001</v>
      </c>
      <c r="L94" s="38"/>
      <c r="M94" s="39"/>
      <c r="N94" s="80" t="s">
        <v>179</v>
      </c>
    </row>
    <row r="95" spans="1:14" s="7" customFormat="1" ht="29.25" customHeight="1" thickBot="1">
      <c r="A95" s="139"/>
      <c r="B95" s="64"/>
      <c r="C95" s="64"/>
      <c r="D95" s="65"/>
      <c r="E95" s="66"/>
      <c r="F95" s="40" t="s">
        <v>27</v>
      </c>
      <c r="G95" s="40">
        <f t="shared" ref="G95:L95" si="7">G7+G36+G53+G62+G78+G85+G88</f>
        <v>1301050</v>
      </c>
      <c r="H95" s="97">
        <f t="shared" si="7"/>
        <v>92700</v>
      </c>
      <c r="I95" s="40">
        <f t="shared" si="7"/>
        <v>8404.1088099999997</v>
      </c>
      <c r="J95" s="40">
        <f t="shared" si="7"/>
        <v>5812.4800500000001</v>
      </c>
      <c r="K95" s="40">
        <f t="shared" si="7"/>
        <v>3982325.3633949999</v>
      </c>
      <c r="L95" s="40">
        <f t="shared" si="7"/>
        <v>480733.68703140004</v>
      </c>
      <c r="M95" s="66"/>
      <c r="N95" s="97"/>
    </row>
    <row r="96" spans="1:14" ht="8.25" customHeight="1">
      <c r="A96" s="19"/>
      <c r="B96" s="18"/>
      <c r="C96" s="18"/>
      <c r="D96" s="19"/>
      <c r="E96" s="19"/>
      <c r="F96" s="19"/>
      <c r="G96" s="100"/>
      <c r="H96" s="19"/>
      <c r="I96" s="19"/>
      <c r="J96" s="19"/>
      <c r="K96" s="100"/>
      <c r="L96" s="19"/>
      <c r="M96" s="19"/>
      <c r="N96" s="13"/>
    </row>
    <row r="97" spans="1:14" ht="24" customHeight="1">
      <c r="A97" s="239" t="s">
        <v>87</v>
      </c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</row>
    <row r="98" spans="1:14" ht="27" customHeight="1">
      <c r="A98" s="14" t="s">
        <v>88</v>
      </c>
      <c r="B98" s="16"/>
      <c r="C98" s="16"/>
      <c r="D98" s="14"/>
      <c r="E98" s="14"/>
      <c r="F98" s="14"/>
      <c r="H98" s="14"/>
      <c r="I98" s="14"/>
      <c r="J98" s="14"/>
      <c r="K98" s="101"/>
      <c r="L98" s="14"/>
      <c r="M98" s="14"/>
    </row>
    <row r="100" spans="1:14">
      <c r="J100" s="2"/>
    </row>
    <row r="101" spans="1:14" ht="24.75" customHeight="1">
      <c r="G101" s="23"/>
      <c r="H101" s="9"/>
      <c r="I101" s="9"/>
      <c r="J101" s="9"/>
      <c r="K101" s="148"/>
      <c r="L101" s="149"/>
    </row>
    <row r="102" spans="1:14" ht="19.5">
      <c r="G102" s="101"/>
      <c r="H102" s="2"/>
      <c r="I102" s="9"/>
      <c r="J102" s="2"/>
      <c r="K102" s="101"/>
      <c r="L102" s="2"/>
    </row>
    <row r="103" spans="1:14">
      <c r="I103" s="15"/>
    </row>
  </sheetData>
  <mergeCells count="141">
    <mergeCell ref="A97:N97"/>
    <mergeCell ref="A55:A56"/>
    <mergeCell ref="I43:I44"/>
    <mergeCell ref="H43:H44"/>
    <mergeCell ref="A85:F85"/>
    <mergeCell ref="A88:F88"/>
    <mergeCell ref="A82:A83"/>
    <mergeCell ref="B82:B83"/>
    <mergeCell ref="C82:C83"/>
    <mergeCell ref="D82:D83"/>
    <mergeCell ref="E82:E83"/>
    <mergeCell ref="F82:F83"/>
    <mergeCell ref="C68:C69"/>
    <mergeCell ref="E68:E69"/>
    <mergeCell ref="N55:N56"/>
    <mergeCell ref="I40:I41"/>
    <mergeCell ref="L40:L41"/>
    <mergeCell ref="A79:A81"/>
    <mergeCell ref="B64:B66"/>
    <mergeCell ref="J40:J41"/>
    <mergeCell ref="K40:K41"/>
    <mergeCell ref="A62:F62"/>
    <mergeCell ref="A78:F78"/>
    <mergeCell ref="G79:G81"/>
    <mergeCell ref="B68:B69"/>
    <mergeCell ref="L55:L56"/>
    <mergeCell ref="K43:K44"/>
    <mergeCell ref="J43:J44"/>
    <mergeCell ref="C64:C66"/>
    <mergeCell ref="D64:D66"/>
    <mergeCell ref="E64:E66"/>
    <mergeCell ref="C55:C56"/>
    <mergeCell ref="F55:F56"/>
    <mergeCell ref="C40:C41"/>
    <mergeCell ref="A53:F53"/>
    <mergeCell ref="A40:A41"/>
    <mergeCell ref="B40:B41"/>
    <mergeCell ref="C29:C30"/>
    <mergeCell ref="F8:F9"/>
    <mergeCell ref="L8:L9"/>
    <mergeCell ref="L12:L13"/>
    <mergeCell ref="K10:K11"/>
    <mergeCell ref="F29:F30"/>
    <mergeCell ref="A36:F36"/>
    <mergeCell ref="H79:H81"/>
    <mergeCell ref="N40:N41"/>
    <mergeCell ref="F40:F41"/>
    <mergeCell ref="I79:I81"/>
    <mergeCell ref="J79:J81"/>
    <mergeCell ref="K79:K81"/>
    <mergeCell ref="L79:L81"/>
    <mergeCell ref="N79:N81"/>
    <mergeCell ref="N64:N65"/>
    <mergeCell ref="N43:N44"/>
    <mergeCell ref="M40:M41"/>
    <mergeCell ref="G40:G41"/>
    <mergeCell ref="H40:H41"/>
    <mergeCell ref="I55:I56"/>
    <mergeCell ref="K55:K56"/>
    <mergeCell ref="J55:J56"/>
    <mergeCell ref="L43:L44"/>
    <mergeCell ref="A29:A30"/>
    <mergeCell ref="H55:H56"/>
    <mergeCell ref="B55:B56"/>
    <mergeCell ref="A43:A44"/>
    <mergeCell ref="B43:B44"/>
    <mergeCell ref="C43:C44"/>
    <mergeCell ref="G43:G44"/>
    <mergeCell ref="G55:G56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</mergeCells>
  <printOptions horizontalCentered="1"/>
  <pageMargins left="0" right="0" top="0.11811023622047245" bottom="0.11811023622047245" header="0" footer="0"/>
  <pageSetup paperSize="9" scale="40" fitToHeight="5" orientation="landscape" r:id="rId1"/>
  <headerFooter alignWithMargins="0"/>
  <rowBreaks count="4" manualBreakCount="4">
    <brk id="28" max="13" man="1"/>
    <brk id="47" max="13" man="1"/>
    <brk id="61" max="13" man="1"/>
    <brk id="8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 Website</vt:lpstr>
      <vt:lpstr>'For Website'!Print_Area</vt:lpstr>
      <vt:lpstr>'For Website'!Print_Titles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2019-02-14T10:38:27Z</cp:lastPrinted>
  <dcterms:created xsi:type="dcterms:W3CDTF">2011-04-14T08:42:21Z</dcterms:created>
  <dcterms:modified xsi:type="dcterms:W3CDTF">2019-03-01T13:13:52Z</dcterms:modified>
</cp:coreProperties>
</file>