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nna.rusieshvili\Desktop\WEB info\WEB 2019\March\"/>
    </mc:Choice>
  </mc:AlternateContent>
  <bookViews>
    <workbookView xWindow="330" yWindow="555" windowWidth="28425" windowHeight="5835" tabRatio="177"/>
  </bookViews>
  <sheets>
    <sheet name="For Website_ENG" sheetId="12" r:id="rId1"/>
  </sheets>
  <externalReferences>
    <externalReference r:id="rId2"/>
    <externalReference r:id="rId3"/>
  </externalReferences>
  <definedNames>
    <definedName name="_xlnm.Print_Area" localSheetId="0">'For Website_ENG'!$A$1:$M$96</definedName>
    <definedName name="_xlnm.Print_Titles" localSheetId="0">'For Website_ENG'!$A:$A,'For Website_ENG'!$4:$6</definedName>
  </definedNames>
  <calcPr calcId="162913"/>
</workbook>
</file>

<file path=xl/calcChain.xml><?xml version="1.0" encoding="utf-8"?>
<calcChain xmlns="http://schemas.openxmlformats.org/spreadsheetml/2006/main">
  <c r="G36" i="12" l="1"/>
  <c r="K92" i="12" l="1"/>
  <c r="K90" i="12"/>
  <c r="K89" i="12"/>
  <c r="L87" i="12"/>
  <c r="L85" i="12"/>
  <c r="L84" i="12"/>
  <c r="K81" i="12"/>
  <c r="K80" i="12"/>
  <c r="L77" i="12"/>
  <c r="K77" i="12"/>
  <c r="L82" i="12"/>
  <c r="K70" i="12"/>
  <c r="K69" i="12"/>
  <c r="K66" i="12"/>
  <c r="K65" i="12"/>
  <c r="K64" i="12"/>
  <c r="L62" i="12"/>
  <c r="L61" i="12"/>
  <c r="K61" i="12"/>
  <c r="L60" i="12"/>
  <c r="K60" i="12"/>
  <c r="L59" i="12"/>
  <c r="K59" i="12"/>
  <c r="K58" i="12"/>
  <c r="K56" i="12"/>
  <c r="K51" i="12"/>
  <c r="K49" i="12"/>
  <c r="L47" i="12"/>
  <c r="K47" i="12"/>
  <c r="K46" i="12"/>
  <c r="K45" i="12"/>
  <c r="K43" i="12"/>
  <c r="K42" i="12"/>
  <c r="K40" i="12"/>
  <c r="L39" i="12"/>
  <c r="K39" i="12"/>
  <c r="K38" i="12"/>
  <c r="L37" i="12"/>
  <c r="K37" i="12"/>
  <c r="K35" i="12"/>
  <c r="K34" i="12"/>
  <c r="K33" i="12"/>
  <c r="K32" i="12"/>
  <c r="K31" i="12"/>
  <c r="K29" i="12"/>
  <c r="L17" i="12"/>
  <c r="K17" i="12"/>
  <c r="K16" i="12"/>
  <c r="K14" i="12"/>
  <c r="K12" i="12"/>
  <c r="K10" i="12"/>
  <c r="K8" i="12"/>
  <c r="K20" i="12" l="1"/>
  <c r="L63" i="12" l="1"/>
  <c r="J63" i="12"/>
  <c r="I63" i="12"/>
  <c r="H63" i="12"/>
  <c r="G63" i="12"/>
  <c r="L55" i="12" l="1"/>
  <c r="K55" i="12"/>
  <c r="J36" i="12"/>
  <c r="I36" i="12"/>
  <c r="H36" i="12"/>
  <c r="G54" i="12"/>
  <c r="K23" i="12" l="1"/>
  <c r="K21" i="12"/>
  <c r="K18" i="12"/>
  <c r="L36" i="12" l="1"/>
  <c r="K36" i="12"/>
  <c r="G76" i="12"/>
  <c r="K63" i="12"/>
  <c r="I76" i="12" l="1"/>
  <c r="J76" i="12"/>
  <c r="K76" i="12" l="1"/>
  <c r="I54" i="12" l="1"/>
  <c r="L76" i="12" l="1"/>
  <c r="F87" i="12" l="1"/>
  <c r="E65" i="12"/>
  <c r="F59" i="12"/>
  <c r="E59" i="12"/>
  <c r="E57" i="12"/>
  <c r="E56" i="12"/>
  <c r="E41" i="12"/>
  <c r="E40" i="12"/>
  <c r="J7" i="12" l="1"/>
  <c r="I7" i="12"/>
  <c r="H7" i="12"/>
  <c r="G7" i="12"/>
  <c r="L7" i="12"/>
  <c r="K7" i="12" l="1"/>
  <c r="H86" i="12"/>
  <c r="G86" i="12"/>
  <c r="K86" i="12" l="1"/>
  <c r="I86" i="12" l="1"/>
  <c r="J86" i="12"/>
  <c r="L86" i="12"/>
  <c r="G83" i="12"/>
  <c r="G93" i="12" s="1"/>
  <c r="G98" i="12" s="1"/>
  <c r="H83" i="12"/>
  <c r="I83" i="12"/>
  <c r="J83" i="12"/>
  <c r="K83" i="12"/>
  <c r="L83" i="12"/>
  <c r="H76" i="12"/>
  <c r="H54" i="12" l="1"/>
  <c r="H93" i="12" s="1"/>
  <c r="H98" i="12" s="1"/>
  <c r="I93" i="12"/>
  <c r="I98" i="12" s="1"/>
  <c r="J54" i="12"/>
  <c r="J93" i="12" s="1"/>
  <c r="J98" i="12" s="1"/>
  <c r="K54" i="12"/>
  <c r="K93" i="12" s="1"/>
  <c r="K98" i="12" s="1"/>
  <c r="L54" i="12"/>
  <c r="L93" i="12" s="1"/>
  <c r="L98" i="12" s="1"/>
</calcChain>
</file>

<file path=xl/sharedStrings.xml><?xml version="1.0" encoding="utf-8"?>
<sst xmlns="http://schemas.openxmlformats.org/spreadsheetml/2006/main" count="242" uniqueCount="170">
  <si>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</si>
  <si>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</si>
  <si>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</si>
  <si>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</si>
  <si>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</si>
  <si>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</si>
  <si>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</si>
  <si>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</si>
  <si>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</si>
  <si>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</si>
  <si>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</si>
  <si>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</si>
  <si>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</si>
  <si>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</si>
  <si>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</si>
  <si>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</si>
  <si>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</si>
  <si>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</si>
  <si>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</si>
  <si>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</si>
  <si>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</si>
  <si>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Rehabilitation of Zemo Samgori Irrigation System (ORIO)</t>
  </si>
  <si>
    <t>Second Regional and Municipal Infrastructure Development Project (WB)</t>
  </si>
  <si>
    <t>Development of Protected Areas (CNF)</t>
  </si>
  <si>
    <t>Road Infrastructure</t>
  </si>
  <si>
    <t>Energy Infrastructure</t>
  </si>
  <si>
    <t>Agriculture Sector</t>
  </si>
  <si>
    <t>Environment Protection</t>
  </si>
  <si>
    <t>TOTAL</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</si>
  <si>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</si>
  <si>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</si>
  <si>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</si>
  <si>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</si>
  <si>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</si>
  <si>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</si>
  <si>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</si>
  <si>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</si>
  <si>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</si>
  <si>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</si>
  <si>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</si>
  <si>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</si>
  <si>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</si>
  <si>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</si>
  <si>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</si>
  <si>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Batumi-Akhaltsikhe Road Project (Khulo-Goderdzi Section) (Kuwait Fund)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</si>
  <si>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</si>
  <si>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</si>
  <si>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</si>
  <si>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</si>
  <si>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First Regional Development Project (Kakheti)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</si>
  <si>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</si>
  <si>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</si>
  <si>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</si>
  <si>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</si>
  <si>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</si>
  <si>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</si>
  <si>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</si>
  <si>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</si>
  <si>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Georgia Solid Waste Management Project (EBRD)</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</si>
  <si>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</si>
  <si>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</si>
  <si>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</si>
  <si>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</si>
  <si>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</si>
  <si>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</si>
  <si>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Millennium Challenge Georgia - Compact II (MCC)</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</si>
  <si>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</si>
  <si>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</si>
  <si>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</si>
  <si>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</si>
  <si>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</si>
  <si>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</si>
  <si>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</si>
  <si>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</si>
  <si>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</si>
  <si>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</si>
  <si>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</si>
  <si>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</si>
  <si>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 of Poti Bridge on River Rioni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</si>
  <si>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</si>
  <si>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</si>
  <si>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</si>
  <si>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 of Grigoleti-Choloki (km48 - km64) section of Senaki-Poti-Sarpi Road 
(EIB)</t>
  </si>
  <si>
    <t>Construction-Rehabilitation of Dzirula-Argveta section of Tbilisi-Senaki-Leselidze Road (JICA)</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</si>
  <si>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</si>
  <si>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</si>
  <si>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</si>
  <si>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</si>
  <si>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Construction/Upgrading of Algeti-Sadakhlo Road  (planned)</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</si>
  <si>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</si>
  <si>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</si>
  <si>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</si>
  <si>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</si>
  <si>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 xml:space="preserve"> -  Rehabilitation of infrastructure in Telavi, Kvareli and Akhmeta (municipal and communal infrastructure, rehabilitation of historical districts) (main works completed); 
 - Rehabilitation and improvement of cultural heritage sites (supportive infrastructure) in the Kakheti region (main works completed); 
 - Support for private sector in Agriculture and Tourism (completed).</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</si>
  <si>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</si>
  <si>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</si>
  <si>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Purchase of a new fleet of solid waste collection vehicles and solid waste containers (ongoing, approximately 150 waste-disposal vehicles and 7200 solid waste containers were purchased and given to municipalities).</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</si>
  <si>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</si>
  <si>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</si>
  <si>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</si>
  <si>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</si>
  <si>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</si>
  <si>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</si>
  <si>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</si>
  <si>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</si>
  <si>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</si>
  <si>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</si>
  <si>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</si>
  <si>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</si>
  <si>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Creation of:
 - Kazbegi National Park; 
 - Kintrishi Protected Area; 
 - Algeti National Park; 
 - Pshavi-Khevsureti Protected Area.
(Development of tourism Action and Investment plans are ongoing; Development of Management Plan for Algeti National Park has commenced; Tender for demarcation of Pshavi-Khevsureti protected territories is announced; Construction of building for Algeti National Park administration and for visitors has commenced; Construction of building for Kazbegi National Park administration and for visitors has commenced; Arrangement of exhibition hall for Prometheus Cave is ongoing; Development of draft law for the creation of protected landscape in Dusheti municipality is ongoing).</t>
  </si>
  <si>
    <t>Reconstruction - Rehabilitation and necessary efficiency improvements of approximately 25 public schools in Tbilisi. (preparatory works are ongoing). 
At this stage the procedures of replacement the project implementing unit - Education and Science Infrastructure Development Agency with Municipal Development Found of Georgia is ongoing. Amendment to the loan agreement will be submitted to the Parliament of Georgia for ratification.</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</si>
  <si>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</si>
  <si>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</si>
  <si>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</si>
  <si>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</si>
  <si>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Construction of a new Kobuleti Bypass Road (approximately 32 km) (First section (12.4 + 1.3 km) of the Highway is open for traffic, construction works completed for second section (18 km), traffic is open).</t>
  </si>
  <si>
    <t xml:space="preserve"> Donors’ supported Projects Envisaged in the State Budget</t>
  </si>
  <si>
    <t xml:space="preserve">  - Construction of Batumi Bypass two-lane 14.3 km Road (construction works are ongoing);
 - Maintenance of approximately 200 km International and Local roads (planned).</t>
  </si>
  <si>
    <t>Construction of Rustavi-Red Bridge (km22 - km57) section of Tbilisi-Red Bridge (Border of Republic of Azerbaijan) (planned).</t>
  </si>
  <si>
    <t>Rehabilitation of secondary and local roads in different regions of Georgia (approx. 225 km in total) (completed).</t>
  </si>
  <si>
    <t xml:space="preserve"> - Rehabilitation and/or periodic maintenance, technical works of selected secondary road sections in Guria region (planned); 
 - Rehabilitation of selected secondary road sections in Mtskheta - Mtianeti, Racha - Lechkhumi and Shida Kartli regions considering the design and construction conditions (project and rehabilitation works are ongoing); 
 -Monitoring and supervision of works contracts (supervision of rehabilitation works of 4 road sections is ongoing).</t>
  </si>
  <si>
    <t xml:space="preserve">Rehabilitation-reconstruction of the Khulo-Goderdzi Section of the Batumi-Akhaltsikhe Road Project (approximately 29 km 2 lane road) (Instructions for starting works were issued).  </t>
  </si>
  <si>
    <t>Upgrading of approximately 11 km of the existing 2-line East-West Highway Corridor to a  2-line dual carriageway from  Chumateleti to Khevi;  ( the tender for construction works was announced on the 8th of November 2018). 
The project will be implemented by EIB co-financing.</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</si>
  <si>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</si>
  <si>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</si>
  <si>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</si>
  <si>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</si>
  <si>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</si>
  <si>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</si>
  <si>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(planned)</t>
  </si>
  <si>
    <t xml:space="preserve"> - Development of a network of Innovation Hubs and Innovation Centers in the various cities and villages of Georgia; (the procedure for restructuring this component of the project is ongoing);
 - Support to increase adoption and use of broadband internet services and advanced information technology by Eligible Households and Eligible MSMEs in rural areas of Georgia  (the procedure for restructuring this component of the project is ongoing);
 - Developing the innovation capacity of individuals and firms.  (the procedure for restructuring this component of the project is ongoing);</t>
  </si>
  <si>
    <t>Amount envisaged in the State Budget 2019</t>
  </si>
  <si>
    <t>Expenditures made during the Year of 2019
(Actual expenditures) **</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</si>
  <si>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</si>
  <si>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</si>
  <si>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</si>
  <si>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</si>
  <si>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</si>
  <si>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 To  implement an environmentally and hygienically sound solid waste management system for  regions Kakheti and Samegrelo - Zemo Svaneti.</t>
  </si>
  <si>
    <t xml:space="preserve">Strengthening Kakheti Infrastructureა (KfW) </t>
  </si>
  <si>
    <t>Kheledula-Lajanuri-Oni (KfW)</t>
  </si>
  <si>
    <t>Planned</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</si>
  <si>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
 - Construction of a riverbank protection (approximately 3.4 km) structure (completed);
 - Feasibility study and other preparatory activities (including Second Rikoti Tunnel) for the construction of the Rikoti-Zestafoni Section of Highway (completed).</t>
  </si>
  <si>
    <t xml:space="preserve">  - Construction of the Zemo Osiauri - Chumateleti Section (approximately 14.1 km) of the Highway ( construction works are ongoing for Lot I, agreement for Lot II was terminated, the legal procedures are ongoing);  
 - Providing support for capacity building to the Roads Department of Georgia (planned);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(planned).</t>
  </si>
  <si>
    <t xml:space="preserve"> - Construction of Zestafoni - Kutaisi section (15.2 km) (Construction works are ongoing, 14 km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</si>
  <si>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Construction of Poti Bridge on River Rioni  (planned).</t>
  </si>
  <si>
    <t>Construction of Lochini-Sagarejo (km20-km50) section of Tbilisi-Bakurtsikhe-Lagodekhi Road  (planned).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</si>
  <si>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</si>
  <si>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</si>
  <si>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</si>
  <si>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</si>
  <si>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</si>
  <si>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xml:space="preserve">  - Rehabilitation of Zemo Samgori Irrigation System.
Project Preparation Stage (Preparation stage for the necessary materials for the preparation of the relevant research and technical, social, environmental and institutional aspects of analysis is completed. The process of closing the project development phase is ongoing).  </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</si>
  <si>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</si>
  <si>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</si>
  <si>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 xml:space="preserve"> - Construction of a new four lane highway (approx. 52 km) from Samtredia to Grigoleti (construction works are going under the I, II and IV lots, III lot - on February 18, 2019, the notification on termination of the contract was sent );  
 - Road sections of Poti-Grigoleti and Grigoleti-Kobuleti Bypass Road (  preparation of the Detailed Design was completed);</t>
  </si>
  <si>
    <t>Construction-Rehabilitaion of Chumateleti-Khevi section of Tbilisi-Senaki-Leselidze Road (preparatory works are ongoing).</t>
  </si>
  <si>
    <t xml:space="preserve">Consturction-Rehabilitation of Khevi-Ubisa section of Tbilisi-Senaki-Leselidze Road (preparatory works are ongoing).  </t>
  </si>
  <si>
    <t>Construction-Rehabilitation of Dzirula-Argveta section of Tbilisi-Senaki-Leselidze Road (The tender ended with negative results).</t>
  </si>
  <si>
    <t>Construction of Grigoleti-Choloki (km48 - km64) section of Senaki-Poti-Sarpi Road  (Started preparation and mobilization work).</t>
  </si>
  <si>
    <t xml:space="preserve"> Rehabilitation of secondary road connecting Dzirula-Kharagauli-Moliti-Pona-Chumateleti Road ( Dzirula-Moliti road rehabilitation - the constraction works are ongoing; the preparatoryworks for rehabilitation of Moliti-Chumateeti road section is ongoing). </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</si>
  <si>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</si>
  <si>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</si>
  <si>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As of March 31, 2019 (In thousand) </t>
  </si>
  <si>
    <t>Construction of road and tunnel on Kvesheti-Kobi section of Mtskheta-Stepantsminda-Larsi Road  ( Tendering procedures are ongoing for selecting the constructors and contractors).</t>
  </si>
  <si>
    <t>Construction of a new bridge at the Sadakhlo-Bagratashen border crossing between the Republic of Armenia and Georgia  (project works are ongoing).</t>
  </si>
  <si>
    <t xml:space="preserve">Rehabilitation of secondary and local roads in different regions of Georgia (approx. 200 km in total) (an additional 12 road will be  rehabilitated within the project (approx. 80 km in total). </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</si>
  <si>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works are ongoing);
 -Anaklia - Construction of Water Intake building; Construction/rehabilitation of water supply and wastewater networks (completed); construction of wastewater treatment plant (the storage procedures are ongoing); 
-  Kutaisi - Construction/rehabilitation of water supply systems (reservoirs, pumping stations, water distribution network) (construction works are ongoing); 
-  Poti - Construction/rehabilitation of water supply systems (completed); rehabilitation of wastewater network (constructio works are ongoing); rehabilitation of wastewater treatment plant (Soil reinforcement works are ongoing); 
- Ureki - Construction of water supply and wastewater systems (water distribution network, wastewater collector and treatment plant) (construction works are ongoing); 
- Ureki - Construction of wastewater collector and treatment plant (the storage procedures are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(construction works are ongoing); 
- Marneuli - Rehabilitation of water supply and wastewater system facilities ( the mobilization works are ongoing);
- Marneuli - wastewater-treatment plant designing and construction (the tender was held)  
- Construction of Abasha main line (constructions works are ongoing).
-  Construction of Water Supply System in Telavi  (assessment procedures are ongoing); 
- Construction water and sewerage systems in Gudauri (mobilization works are ongoing); 
-  Constraction of wastewater treatment plant in Gudauri (tendering procedures are ongoing).
</t>
  </si>
  <si>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- 16 demonstration plots (for fruit, vegetables, berry plantation, bay-tree, demonstration plots for conservative agriculture and honey) were arranged in Kakheti, Shida Kartli, Samegrelo, Kazgebi, Racha regions and  Adjara were arranged. 55 trainings (theoretical and practical trainin) were conducted for  2702 participants. 
- 407 small and large size grants were issued (399 for  enterprises ad 8 for processing enterprises); 
- Rehabilitation of distribution network for Tirifoni irrigation system in Gori Municipality is completed;
- The rehabilitation of the main channel and internal networks of irrigation system in Dzevera-Shurtula is completed;
-  The contruction works are ongoing for rehabilitation of the irrigation distribution system and network (Kvemo Alazani, Saltvisi); 
-  Contruction works are ongoing for rehabilitation / modernization of Qvemo Alazani irrigation system distribution channel;
-  Rehabilitation of small rural infrastructure (roads and bridges) is completed in Shida Kartli (Kareli, Gori) and  contruction works are ongoing in Samegrelo (Khobi);
- Rehabilitation of rural road is completed in Lagodekhi Municipality  in village Giorgeti; 
- Works on  landscape restoration plan of river Charebula in Shida Kartli, Gori Municipality is completed; 
- The landscape restoration plan, in particular Windmill Arrangement Plan is prepared in Shida Kartli, Gori Municipality, village Sakasheti.    </t>
    </r>
  </si>
  <si>
    <r>
      <rPr>
        <b/>
        <sz val="12"/>
        <color theme="1"/>
        <rFont val="Franklin Gothic Book"/>
        <family val="2"/>
        <scheme val="minor"/>
      </rPr>
      <t xml:space="preserve"> Repairs/rehabilitation of public schools in the regions of Georgia </t>
    </r>
    <r>
      <rPr>
        <sz val="12"/>
        <rFont val="Franklin Gothic Book"/>
        <family val="2"/>
        <scheme val="minor"/>
      </rPr>
      <t xml:space="preserve">
- Rehabilitation of 78 public schools and equipping  with natural laboratories in Shida Kartli, Samtskhe-Javakheti, Racha-Lechkhumi and Kvemo Svaneti regions (completed); 
- Full rehabilitation of 13 public schools (is ongoing), 10 schools are located in western Georgia and 3 in Kakheti.  
</t>
    </r>
    <r>
      <rPr>
        <b/>
        <sz val="12"/>
        <rFont val="Franklin Gothic Book"/>
        <family val="2"/>
        <scheme val="minor"/>
      </rPr>
      <t>Improvement of  teacher's qualifications</t>
    </r>
    <r>
      <rPr>
        <sz val="12"/>
        <rFont val="Franklin Gothic Book"/>
        <family val="2"/>
        <scheme val="minor"/>
      </rPr>
      <t xml:space="preserve">
- In the framework of general professional training course 17,507 teachers were trained, including 1861 non-georgian language teacher. 13 441 (including 1 104 non-Georgian language teachers) attended all three modules of general professional course. 
- Within the course of the subject methodology (Physics, Mathematics, Biology, Chemistry, English and Information Technology) 14 165  teachers were trained, including 1 229 non-georgian language teacher.
</t>
    </r>
    <r>
      <rPr>
        <b/>
        <sz val="12"/>
        <rFont val="Franklin Gothic Book"/>
        <family val="2"/>
        <scheme val="minor"/>
      </rPr>
      <t>Increase qualification of school directors</t>
    </r>
    <r>
      <rPr>
        <sz val="12"/>
        <rFont val="Franklin Gothic Book"/>
        <family val="2"/>
        <scheme val="minor"/>
      </rPr>
      <t xml:space="preserve">
- 1 880 (including 167 non-Georgian language) directors participated in the framework of the Academy Leadership 1.
- In total 2 048 directors participated in the framewrork of the Academy of Leadership 2, including from 182 non-Georgian schools. All 6 modules of course were attended by 1 677 (including 135 non-Georgian language directors) and 2 101 (including 104 non-Georgian) facilitators. 
- 1 757 (including 152 non-Georgian language directors) and 1 477 (including 122 non-Georgian language facilitators) attended the training in the framework of the Leadership Academy 3.
</t>
    </r>
    <r>
      <rPr>
        <b/>
        <sz val="12"/>
        <rFont val="Franklin Gothic Book"/>
        <family val="2"/>
        <scheme val="minor"/>
      </rPr>
      <t>Promotion of higher education in the technical field  (ongoing)</t>
    </r>
    <r>
      <rPr>
        <sz val="12"/>
        <rFont val="Franklin Gothic Book"/>
        <family val="2"/>
        <scheme val="minor"/>
      </rPr>
      <t xml:space="preserve">
 Complete rehabilitation of lecture rooms and laboratories, equipping and arrangement of new laboratories of San Diego State University (SDSU) partner universities of Georgia have been implemented.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</si>
</sst>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dd\.mm\.yyyy"/>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5">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medium">
        <color indexed="64"/>
      </left>
      <right style="dotted">
        <color theme="0" tint="-0.499984740745262"/>
      </right>
      <top style="dotted">
        <color theme="0" tint="-0.499984740745262"/>
      </top>
      <bottom style="thin">
        <color indexed="64"/>
      </bottom>
      <diagonal/>
    </border>
    <border>
      <left style="dotted">
        <color theme="0" tint="-0.499984740745262"/>
      </left>
      <right style="dotted">
        <color theme="0" tint="-0.499984740745262"/>
      </right>
      <top style="dotted">
        <color theme="0" tint="-0.499984740745262"/>
      </top>
      <bottom style="thin">
        <color indexed="64"/>
      </bottom>
      <diagonal/>
    </border>
    <border>
      <left style="dotted">
        <color theme="0" tint="-0.499984740745262"/>
      </left>
      <right style="medium">
        <color indexed="64"/>
      </right>
      <top style="dotted">
        <color theme="0" tint="-0.499984740745262"/>
      </top>
      <bottom style="thin">
        <color indexed="64"/>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18">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32"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43" fontId="5" fillId="0" borderId="32" xfId="1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0" fontId="5" fillId="0" borderId="34" xfId="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4" fontId="5" fillId="0" borderId="35"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quotePrefix="1" applyNumberFormat="1" applyFont="1" applyFill="1" applyBorder="1" applyAlignment="1">
      <alignment horizontal="center" vertical="center"/>
    </xf>
    <xf numFmtId="164" fontId="5" fillId="2" borderId="38" xfId="1" applyNumberFormat="1" applyFont="1" applyFill="1" applyBorder="1" applyAlignment="1">
      <alignment horizontal="center" vertical="center"/>
    </xf>
    <xf numFmtId="43" fontId="5" fillId="0" borderId="38" xfId="1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5"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xf>
    <xf numFmtId="165" fontId="5" fillId="2" borderId="35"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7" fillId="0" borderId="32" xfId="1" applyNumberFormat="1" applyFont="1" applyFill="1" applyBorder="1" applyAlignment="1">
      <alignment horizontal="center" vertical="center"/>
    </xf>
    <xf numFmtId="0" fontId="5" fillId="2" borderId="31" xfId="1" applyFont="1" applyFill="1" applyBorder="1" applyAlignment="1">
      <alignment horizontal="left" vertical="center" wrapText="1"/>
    </xf>
    <xf numFmtId="165" fontId="5"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0" fontId="5" fillId="0" borderId="31"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0" fontId="5" fillId="0" borderId="31" xfId="4" applyFont="1" applyFill="1" applyBorder="1" applyAlignment="1">
      <alignment horizontal="left" vertical="center" wrapText="1"/>
    </xf>
    <xf numFmtId="164" fontId="5" fillId="2" borderId="29"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0" fontId="7" fillId="0" borderId="31" xfId="4" applyFont="1" applyFill="1" applyBorder="1" applyAlignment="1">
      <alignment horizontal="left" vertical="center" wrapText="1"/>
    </xf>
    <xf numFmtId="164" fontId="5" fillId="0" borderId="46" xfId="1" applyNumberFormat="1" applyFont="1" applyFill="1" applyBorder="1" applyAlignment="1">
      <alignment horizontal="center" vertical="center"/>
    </xf>
    <xf numFmtId="43" fontId="5" fillId="0" borderId="4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6" fillId="0" borderId="32" xfId="1" applyNumberFormat="1" applyFont="1" applyFill="1" applyBorder="1" applyAlignment="1">
      <alignment horizontal="center" vertical="center" wrapText="1"/>
    </xf>
    <xf numFmtId="164" fontId="6" fillId="0" borderId="32" xfId="1" applyNumberFormat="1" applyFont="1" applyFill="1" applyBorder="1" applyAlignment="1">
      <alignment horizontal="center" vertical="center"/>
    </xf>
    <xf numFmtId="164" fontId="7" fillId="0" borderId="37" xfId="1" applyNumberFormat="1" applyFont="1" applyFill="1" applyBorder="1" applyAlignment="1">
      <alignment horizontal="center" vertical="center"/>
    </xf>
    <xf numFmtId="164" fontId="7" fillId="0" borderId="35"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46" xfId="1" applyNumberFormat="1" applyFont="1" applyFill="1" applyBorder="1" applyAlignment="1">
      <alignment horizontal="center" vertical="center"/>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2" borderId="32" xfId="1" applyNumberFormat="1" applyFont="1" applyFill="1" applyBorder="1" applyAlignment="1">
      <alignment horizontal="center" vertical="center" wrapText="1"/>
    </xf>
    <xf numFmtId="164" fontId="7" fillId="2" borderId="32" xfId="1" applyNumberFormat="1" applyFont="1" applyFill="1" applyBorder="1" applyAlignment="1">
      <alignment horizontal="center" vertical="center"/>
    </xf>
    <xf numFmtId="0" fontId="7" fillId="0" borderId="31" xfId="1" applyFont="1" applyFill="1" applyBorder="1" applyAlignment="1">
      <alignment vertical="center" wrapText="1"/>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6"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49" fontId="16" fillId="3" borderId="27" xfId="1" applyNumberFormat="1" applyFont="1" applyFill="1" applyBorder="1" applyAlignment="1">
      <alignment horizontal="center" vertical="center"/>
    </xf>
    <xf numFmtId="164" fontId="6" fillId="2" borderId="32" xfId="1" applyNumberFormat="1" applyFont="1" applyFill="1" applyBorder="1" applyAlignment="1">
      <alignment horizontal="center" vertical="center"/>
    </xf>
    <xf numFmtId="0" fontId="7" fillId="0" borderId="28"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49" fontId="6" fillId="0" borderId="47"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5" fontId="7" fillId="0" borderId="32" xfId="1" applyNumberFormat="1" applyFont="1" applyFill="1" applyBorder="1" applyAlignment="1">
      <alignment horizontal="center"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41" xfId="1" applyNumberFormat="1" applyFont="1" applyFill="1" applyBorder="1" applyAlignment="1">
      <alignment horizontal="center" vertical="center" wrapText="1"/>
    </xf>
    <xf numFmtId="0" fontId="7" fillId="0" borderId="31" xfId="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7" fillId="0" borderId="31" xfId="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5" fontId="5" fillId="0" borderId="38" xfId="1" applyNumberFormat="1" applyFont="1" applyFill="1" applyBorder="1" applyAlignment="1">
      <alignment horizontal="center" vertical="center" wrapText="1"/>
    </xf>
    <xf numFmtId="165" fontId="15" fillId="2" borderId="38" xfId="1" applyNumberFormat="1" applyFont="1" applyFill="1" applyBorder="1" applyAlignment="1">
      <alignment horizontal="center" vertical="center" wrapText="1"/>
    </xf>
    <xf numFmtId="165" fontId="5" fillId="0" borderId="46" xfId="1" applyNumberFormat="1" applyFont="1" applyFill="1" applyBorder="1" applyAlignment="1">
      <alignment horizontal="center" vertical="center" wrapText="1"/>
    </xf>
    <xf numFmtId="164" fontId="17" fillId="0" borderId="32" xfId="1" applyNumberFormat="1" applyFont="1" applyFill="1" applyBorder="1" applyAlignment="1">
      <alignment horizontal="center" vertical="center"/>
    </xf>
    <xf numFmtId="43" fontId="5" fillId="0" borderId="39" xfId="11" applyFont="1" applyFill="1" applyBorder="1" applyAlignment="1">
      <alignment horizontal="center" vertical="center"/>
    </xf>
    <xf numFmtId="0" fontId="5" fillId="0" borderId="48" xfId="1" applyFont="1" applyFill="1" applyBorder="1" applyAlignment="1">
      <alignment horizontal="left" vertical="center" wrapText="1"/>
    </xf>
    <xf numFmtId="165" fontId="5" fillId="0" borderId="49" xfId="1" applyNumberFormat="1" applyFont="1" applyFill="1" applyBorder="1" applyAlignment="1">
      <alignment horizontal="center" vertical="center" wrapText="1"/>
    </xf>
    <xf numFmtId="164" fontId="5" fillId="0" borderId="49" xfId="1" applyNumberFormat="1" applyFont="1" applyFill="1" applyBorder="1" applyAlignment="1">
      <alignment horizontal="center" vertical="center"/>
    </xf>
    <xf numFmtId="164" fontId="7" fillId="0" borderId="49" xfId="1" applyNumberFormat="1" applyFont="1" applyFill="1" applyBorder="1" applyAlignment="1">
      <alignment horizontal="center" vertical="center"/>
    </xf>
    <xf numFmtId="49" fontId="7" fillId="0" borderId="50"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4" fontId="5" fillId="0" borderId="38" xfId="1" applyNumberFormat="1" applyFont="1" applyFill="1" applyBorder="1" applyAlignment="1">
      <alignment horizontal="center" vertical="center"/>
    </xf>
    <xf numFmtId="0" fontId="5" fillId="0" borderId="31" xfId="4"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49" fontId="7" fillId="0" borderId="33" xfId="1" applyNumberFormat="1" applyFont="1" applyFill="1" applyBorder="1" applyAlignment="1" applyProtection="1">
      <alignment horizontal="left" vertical="center" wrapText="1"/>
      <protection locked="0"/>
    </xf>
    <xf numFmtId="164" fontId="5" fillId="0" borderId="38"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49" fontId="5" fillId="0" borderId="33" xfId="1" applyNumberFormat="1" applyFont="1" applyFill="1" applyBorder="1" applyAlignment="1">
      <alignment horizontal="left" vertical="center" wrapText="1"/>
    </xf>
    <xf numFmtId="165" fontId="7" fillId="0" borderId="39" xfId="1" applyNumberFormat="1" applyFont="1" applyFill="1" applyBorder="1" applyAlignment="1">
      <alignment horizontal="center" vertical="center" wrapText="1"/>
    </xf>
    <xf numFmtId="165" fontId="7" fillId="0" borderId="40" xfId="1" applyNumberFormat="1" applyFont="1" applyFill="1" applyBorder="1" applyAlignment="1">
      <alignment horizontal="center" vertical="center" wrapText="1"/>
    </xf>
    <xf numFmtId="165" fontId="7" fillId="0" borderId="41" xfId="1" applyNumberFormat="1" applyFont="1" applyFill="1" applyBorder="1" applyAlignment="1">
      <alignment horizontal="center" vertical="center" wrapText="1"/>
    </xf>
    <xf numFmtId="164" fontId="7" fillId="0" borderId="39" xfId="1" applyNumberFormat="1" applyFont="1" applyFill="1" applyBorder="1" applyAlignment="1">
      <alignment horizontal="center" vertical="center"/>
    </xf>
    <xf numFmtId="164" fontId="7" fillId="0" borderId="40" xfId="1" applyNumberFormat="1" applyFont="1" applyFill="1" applyBorder="1" applyAlignment="1">
      <alignment horizontal="center" vertical="center"/>
    </xf>
    <xf numFmtId="164" fontId="7" fillId="0" borderId="41" xfId="1" applyNumberFormat="1" applyFont="1" applyFill="1" applyBorder="1" applyAlignment="1">
      <alignment horizontal="center" vertical="center"/>
    </xf>
    <xf numFmtId="49" fontId="7" fillId="0" borderId="44" xfId="1" applyNumberFormat="1" applyFont="1" applyFill="1" applyBorder="1" applyAlignment="1">
      <alignment horizontal="left" vertical="center" wrapText="1"/>
    </xf>
    <xf numFmtId="49" fontId="7" fillId="0" borderId="45"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2"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39" xfId="1" applyNumberFormat="1" applyFont="1" applyFill="1" applyBorder="1" applyAlignment="1">
      <alignment horizontal="center" vertical="center"/>
    </xf>
    <xf numFmtId="164" fontId="5" fillId="0" borderId="41" xfId="1" applyNumberFormat="1" applyFont="1" applyFill="1" applyBorder="1" applyAlignment="1">
      <alignment horizontal="center" vertical="center"/>
    </xf>
    <xf numFmtId="165" fontId="5" fillId="0" borderId="32" xfId="1" applyNumberFormat="1" applyFont="1" applyFill="1" applyBorder="1" applyAlignment="1">
      <alignment horizontal="center" vertical="center" wrapText="1"/>
    </xf>
    <xf numFmtId="165" fontId="15" fillId="0" borderId="29" xfId="1" applyNumberFormat="1" applyFont="1" applyFill="1" applyBorder="1" applyAlignment="1">
      <alignment horizontal="center" vertical="center" wrapText="1"/>
    </xf>
    <xf numFmtId="165" fontId="15" fillId="0" borderId="32" xfId="1" applyNumberFormat="1" applyFont="1" applyFill="1" applyBorder="1" applyAlignment="1">
      <alignment horizontal="center" vertical="center" wrapText="1"/>
    </xf>
    <xf numFmtId="164" fontId="5" fillId="2" borderId="32"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0" fontId="5" fillId="0" borderId="3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12" fillId="3" borderId="25" xfId="1" applyFont="1" applyFill="1" applyBorder="1" applyAlignment="1">
      <alignment horizontal="left" vertical="center"/>
    </xf>
    <xf numFmtId="0" fontId="12" fillId="3" borderId="26" xfId="1" applyFont="1" applyFill="1" applyBorder="1" applyAlignment="1">
      <alignment horizontal="left" vertical="center"/>
    </xf>
    <xf numFmtId="0" fontId="12" fillId="3" borderId="27" xfId="1" applyFont="1" applyFill="1" applyBorder="1" applyAlignment="1">
      <alignment horizontal="left"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5" fillId="0" borderId="38" xfId="1" applyNumberFormat="1" applyFont="1" applyFill="1" applyBorder="1" applyAlignment="1">
      <alignment horizontal="center" vertical="center"/>
    </xf>
    <xf numFmtId="164" fontId="5" fillId="0" borderId="51" xfId="1" quotePrefix="1" applyNumberFormat="1" applyFont="1" applyFill="1" applyBorder="1" applyAlignment="1">
      <alignment horizontal="center" vertical="center"/>
    </xf>
    <xf numFmtId="164" fontId="5" fillId="0" borderId="52" xfId="1" quotePrefix="1" applyNumberFormat="1" applyFont="1" applyFill="1" applyBorder="1" applyAlignment="1">
      <alignment horizontal="center" vertical="center"/>
    </xf>
    <xf numFmtId="0" fontId="5" fillId="0" borderId="31" xfId="4" applyFont="1" applyFill="1" applyBorder="1" applyAlignment="1">
      <alignment horizontal="left" vertical="center" wrapText="1"/>
    </xf>
    <xf numFmtId="164" fontId="7" fillId="0" borderId="38"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7" fillId="0" borderId="32" xfId="1" applyNumberFormat="1" applyFont="1" applyFill="1" applyBorder="1" applyAlignment="1">
      <alignment horizontal="center" vertical="center" wrapText="1"/>
    </xf>
    <xf numFmtId="165" fontId="5" fillId="0" borderId="29" xfId="1" applyNumberFormat="1" applyFont="1" applyFill="1" applyBorder="1" applyAlignment="1">
      <alignment horizontal="center" vertical="center" wrapText="1"/>
    </xf>
    <xf numFmtId="0" fontId="7" fillId="0" borderId="42" xfId="1" applyFont="1" applyFill="1" applyBorder="1" applyAlignment="1">
      <alignment horizontal="left" vertical="center" wrapText="1"/>
    </xf>
    <xf numFmtId="0" fontId="7" fillId="0" borderId="43" xfId="1" applyFont="1" applyFill="1" applyBorder="1" applyAlignment="1">
      <alignment horizontal="left" vertical="center" wrapText="1"/>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49" fontId="7" fillId="0" borderId="33" xfId="1" applyNumberFormat="1" applyFont="1" applyFill="1" applyBorder="1" applyAlignment="1">
      <alignment horizontal="left" vertical="center" wrapText="1"/>
    </xf>
    <xf numFmtId="0" fontId="12" fillId="4" borderId="7" xfId="1" applyNumberFormat="1" applyFont="1" applyFill="1" applyBorder="1" applyAlignment="1">
      <alignment horizontal="center" vertical="center" wrapText="1"/>
    </xf>
    <xf numFmtId="164" fontId="5" fillId="0" borderId="51" xfId="1" applyNumberFormat="1" applyFont="1" applyFill="1" applyBorder="1" applyAlignment="1">
      <alignment horizontal="center" vertical="center"/>
    </xf>
    <xf numFmtId="164" fontId="5" fillId="0" borderId="52" xfId="1" applyNumberFormat="1" applyFont="1" applyFill="1" applyBorder="1" applyAlignment="1">
      <alignment horizontal="center" vertical="center"/>
    </xf>
    <xf numFmtId="49" fontId="7" fillId="0" borderId="53" xfId="1" applyNumberFormat="1" applyFont="1" applyFill="1" applyBorder="1" applyAlignment="1" applyProtection="1">
      <alignment horizontal="left" vertical="center" wrapText="1"/>
      <protection locked="0"/>
    </xf>
    <xf numFmtId="49" fontId="7" fillId="0" borderId="54" xfId="1" applyNumberFormat="1" applyFont="1" applyFill="1" applyBorder="1" applyAlignment="1" applyProtection="1">
      <alignment horizontal="left" vertical="center" wrapText="1"/>
      <protection locked="0"/>
    </xf>
    <xf numFmtId="49" fontId="7" fillId="0" borderId="45" xfId="1" applyNumberFormat="1" applyFont="1" applyFill="1" applyBorder="1" applyAlignment="1" applyProtection="1">
      <alignment horizontal="left" vertical="center" wrapText="1"/>
      <protection locked="0"/>
    </xf>
    <xf numFmtId="0" fontId="5" fillId="0" borderId="28" xfId="1" applyFont="1" applyFill="1" applyBorder="1" applyAlignment="1">
      <alignment horizontal="left" vertical="center" wrapText="1"/>
    </xf>
    <xf numFmtId="0" fontId="1" fillId="0" borderId="32" xfId="0" applyFont="1" applyBorder="1" applyAlignment="1">
      <alignment horizontal="center" vertical="center"/>
    </xf>
    <xf numFmtId="165" fontId="5" fillId="0" borderId="39" xfId="1" applyNumberFormat="1" applyFont="1" applyFill="1" applyBorder="1" applyAlignment="1">
      <alignment horizontal="center" vertical="center" wrapText="1"/>
    </xf>
    <xf numFmtId="165" fontId="5" fillId="0" borderId="40" xfId="1" applyNumberFormat="1" applyFont="1" applyFill="1" applyBorder="1" applyAlignment="1">
      <alignment horizontal="center" vertical="center" wrapText="1"/>
    </xf>
    <xf numFmtId="165" fontId="5" fillId="0" borderId="41" xfId="1" applyNumberFormat="1" applyFont="1" applyFill="1" applyBorder="1" applyAlignment="1">
      <alignment horizontal="center" vertical="center" wrapText="1"/>
    </xf>
    <xf numFmtId="164" fontId="5" fillId="0" borderId="40" xfId="1" applyNumberFormat="1" applyFont="1" applyFill="1" applyBorder="1" applyAlignment="1">
      <alignment horizontal="center" vertical="center"/>
    </xf>
    <xf numFmtId="0" fontId="5" fillId="0" borderId="42" xfId="1" applyFont="1" applyFill="1" applyBorder="1" applyAlignment="1">
      <alignment horizontal="left" vertical="center" wrapText="1"/>
    </xf>
    <xf numFmtId="0" fontId="5" fillId="0" borderId="43" xfId="1" applyFont="1" applyFill="1" applyBorder="1" applyAlignment="1">
      <alignment horizontal="left" vertical="center" wrapText="1"/>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January_G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a.rusieshvili\AppData\Local\Microsoft\Windows\INetCache\Content.Outlook\MRNAUQBZ\WEB_2019_March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Website"/>
    </sheetNames>
    <sheetDataSet>
      <sheetData sheetId="0">
        <row r="95">
          <cell r="G95">
            <v>1301050</v>
          </cell>
          <cell r="H95">
            <v>92700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19"/>
    </sheetNames>
    <sheetDataSet>
      <sheetData sheetId="0">
        <row r="93">
          <cell r="I93">
            <v>99169.450430000012</v>
          </cell>
          <cell r="J93">
            <v>23673.433000000001</v>
          </cell>
          <cell r="K93">
            <v>4103598.0882549994</v>
          </cell>
          <cell r="L93">
            <v>498594.63998139999</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R99"/>
  <sheetViews>
    <sheetView showGridLines="0" tabSelected="1" view="pageBreakPreview" topLeftCell="B92" zoomScale="70" zoomScaleNormal="60" zoomScaleSheetLayoutView="70" zoomScalePageLayoutView="40" workbookViewId="0">
      <selection activeCell="M87" sqref="M87"/>
    </sheetView>
  </sheetViews>
  <sheetFormatPr defaultColWidth="9.33203125" defaultRowHeight="16.5"/>
  <cols>
    <col min="1" max="1" width="64" style="4" customWidth="1"/>
    <col min="2" max="2" width="12.77734375" style="5" bestFit="1" customWidth="1"/>
    <col min="3" max="3" width="12.6640625" style="2" bestFit="1" customWidth="1"/>
    <col min="4" max="4" width="10.5546875" style="4" customWidth="1"/>
    <col min="5" max="5" width="13.109375" style="4" bestFit="1" customWidth="1"/>
    <col min="6" max="6" width="9.77734375" style="4" customWidth="1"/>
    <col min="7" max="7" width="17.6640625" style="1" customWidth="1"/>
    <col min="8" max="8" width="14.109375" style="4" customWidth="1"/>
    <col min="9" max="9" width="15.44140625" style="4" customWidth="1"/>
    <col min="10" max="10" width="13.21875" style="4" customWidth="1"/>
    <col min="11" max="11" width="17" style="4" customWidth="1"/>
    <col min="12" max="12" width="16.109375" style="4" customWidth="1"/>
    <col min="13" max="13" width="114.6640625" style="13" customWidth="1"/>
    <col min="14" max="18" width="9.33203125" style="1"/>
    <col min="19" max="19" width="9.33203125" style="1" customWidth="1"/>
    <col min="20" max="16384" width="9.33203125" style="1"/>
  </cols>
  <sheetData>
    <row r="1" spans="1:13" ht="6" customHeight="1">
      <c r="A1" s="1"/>
      <c r="B1" s="2"/>
      <c r="D1" s="1"/>
      <c r="E1" s="1"/>
      <c r="F1" s="1"/>
      <c r="H1" s="1"/>
      <c r="I1" s="1"/>
      <c r="J1" s="1"/>
      <c r="K1" s="1"/>
      <c r="L1" s="1"/>
    </row>
    <row r="2" spans="1:13" s="6" customFormat="1" ht="29.45" customHeight="1">
      <c r="A2" s="15" t="s">
        <v>116</v>
      </c>
      <c r="B2" s="16"/>
      <c r="C2" s="16"/>
      <c r="D2" s="15"/>
      <c r="E2" s="15"/>
      <c r="F2" s="15"/>
      <c r="G2" s="15"/>
      <c r="H2" s="15"/>
      <c r="I2" s="15"/>
      <c r="J2" s="15"/>
      <c r="K2" s="17"/>
      <c r="L2" s="15"/>
      <c r="M2" s="81"/>
    </row>
    <row r="3" spans="1:13" ht="27" customHeight="1" thickBot="1">
      <c r="A3" s="18" t="s">
        <v>163</v>
      </c>
      <c r="B3" s="19"/>
      <c r="C3" s="19"/>
      <c r="D3" s="20"/>
      <c r="E3" s="20"/>
      <c r="F3" s="20"/>
      <c r="G3" s="20"/>
      <c r="H3" s="20"/>
      <c r="I3" s="20"/>
      <c r="J3" s="20"/>
      <c r="K3" s="20"/>
      <c r="L3" s="20"/>
    </row>
    <row r="4" spans="1:13" s="6" customFormat="1" ht="58.9" customHeight="1">
      <c r="A4" s="188" t="s">
        <v>9</v>
      </c>
      <c r="B4" s="185" t="s">
        <v>69</v>
      </c>
      <c r="C4" s="185" t="s">
        <v>30</v>
      </c>
      <c r="D4" s="182" t="s">
        <v>29</v>
      </c>
      <c r="E4" s="182"/>
      <c r="F4" s="187"/>
      <c r="G4" s="181" t="s">
        <v>131</v>
      </c>
      <c r="H4" s="182"/>
      <c r="I4" s="181" t="s">
        <v>132</v>
      </c>
      <c r="J4" s="182"/>
      <c r="K4" s="204" t="s">
        <v>57</v>
      </c>
      <c r="L4" s="181"/>
      <c r="M4" s="200" t="s">
        <v>31</v>
      </c>
    </row>
    <row r="5" spans="1:13" s="6" customFormat="1" ht="60" customHeight="1" thickBot="1">
      <c r="A5" s="189"/>
      <c r="B5" s="186"/>
      <c r="C5" s="186"/>
      <c r="D5" s="190" t="s">
        <v>19</v>
      </c>
      <c r="E5" s="191"/>
      <c r="F5" s="192"/>
      <c r="G5" s="183" t="s">
        <v>6</v>
      </c>
      <c r="H5" s="184"/>
      <c r="I5" s="183" t="s">
        <v>6</v>
      </c>
      <c r="J5" s="184"/>
      <c r="K5" s="183" t="s">
        <v>6</v>
      </c>
      <c r="L5" s="184"/>
      <c r="M5" s="201"/>
    </row>
    <row r="6" spans="1:13" ht="28.5" customHeight="1" thickBot="1">
      <c r="A6" s="21"/>
      <c r="B6" s="22"/>
      <c r="C6" s="22"/>
      <c r="D6" s="23" t="s">
        <v>10</v>
      </c>
      <c r="E6" s="23" t="s">
        <v>11</v>
      </c>
      <c r="F6" s="23" t="s">
        <v>12</v>
      </c>
      <c r="G6" s="23" t="s">
        <v>11</v>
      </c>
      <c r="H6" s="23" t="s">
        <v>12</v>
      </c>
      <c r="I6" s="23" t="s">
        <v>11</v>
      </c>
      <c r="J6" s="23" t="s">
        <v>12</v>
      </c>
      <c r="K6" s="23" t="s">
        <v>11</v>
      </c>
      <c r="L6" s="23" t="s">
        <v>12</v>
      </c>
      <c r="M6" s="82"/>
    </row>
    <row r="7" spans="1:13" s="7" customFormat="1" ht="30" customHeight="1" thickBot="1">
      <c r="A7" s="193" t="s">
        <v>24</v>
      </c>
      <c r="B7" s="194"/>
      <c r="C7" s="194"/>
      <c r="D7" s="194"/>
      <c r="E7" s="194"/>
      <c r="F7" s="195"/>
      <c r="G7" s="24">
        <f t="shared" ref="G7:L7" si="0">SUM(G8:G35)</f>
        <v>680550</v>
      </c>
      <c r="H7" s="24">
        <f t="shared" si="0"/>
        <v>8050</v>
      </c>
      <c r="I7" s="24">
        <f t="shared" si="0"/>
        <v>29112.210369999997</v>
      </c>
      <c r="J7" s="24">
        <f t="shared" si="0"/>
        <v>473.52472</v>
      </c>
      <c r="K7" s="24">
        <f t="shared" si="0"/>
        <v>2031611.12056</v>
      </c>
      <c r="L7" s="24">
        <f t="shared" si="0"/>
        <v>31469.374060000002</v>
      </c>
      <c r="M7" s="83"/>
    </row>
    <row r="8" spans="1:13" ht="48" customHeight="1">
      <c r="A8" s="178" t="s">
        <v>54</v>
      </c>
      <c r="B8" s="197">
        <v>41431</v>
      </c>
      <c r="C8" s="161">
        <v>43524</v>
      </c>
      <c r="D8" s="25" t="s">
        <v>0</v>
      </c>
      <c r="E8" s="25">
        <v>24500</v>
      </c>
      <c r="F8" s="154"/>
      <c r="G8" s="154">
        <v>4000</v>
      </c>
      <c r="H8" s="156"/>
      <c r="I8" s="154">
        <v>3925.6674800000001</v>
      </c>
      <c r="J8" s="164"/>
      <c r="K8" s="154">
        <f>148859.28356+I8</f>
        <v>152784.95104000001</v>
      </c>
      <c r="L8" s="154"/>
      <c r="M8" s="202" t="s">
        <v>142</v>
      </c>
    </row>
    <row r="9" spans="1:13" ht="65.25" customHeight="1">
      <c r="A9" s="179"/>
      <c r="B9" s="160"/>
      <c r="C9" s="162"/>
      <c r="D9" s="26" t="s">
        <v>1</v>
      </c>
      <c r="E9" s="26">
        <v>38000</v>
      </c>
      <c r="F9" s="155"/>
      <c r="G9" s="155"/>
      <c r="H9" s="157"/>
      <c r="I9" s="155"/>
      <c r="J9" s="163"/>
      <c r="K9" s="155"/>
      <c r="L9" s="155"/>
      <c r="M9" s="203"/>
    </row>
    <row r="10" spans="1:13" s="9" customFormat="1" ht="46.9" customHeight="1">
      <c r="A10" s="179" t="s">
        <v>46</v>
      </c>
      <c r="B10" s="160">
        <v>42410</v>
      </c>
      <c r="C10" s="160">
        <v>44196</v>
      </c>
      <c r="D10" s="26" t="s">
        <v>1</v>
      </c>
      <c r="E10" s="26">
        <v>140000</v>
      </c>
      <c r="F10" s="26"/>
      <c r="G10" s="155">
        <v>55225</v>
      </c>
      <c r="H10" s="157"/>
      <c r="I10" s="155">
        <v>4762.8245500000003</v>
      </c>
      <c r="J10" s="163"/>
      <c r="K10" s="155">
        <f>102576.23686+I10</f>
        <v>107339.06141000001</v>
      </c>
      <c r="L10" s="155"/>
      <c r="M10" s="203" t="s">
        <v>143</v>
      </c>
    </row>
    <row r="11" spans="1:13" s="9" customFormat="1" ht="78.75" customHeight="1">
      <c r="A11" s="179"/>
      <c r="B11" s="160"/>
      <c r="C11" s="160"/>
      <c r="D11" s="26" t="s">
        <v>4</v>
      </c>
      <c r="E11" s="26">
        <v>49450</v>
      </c>
      <c r="F11" s="26"/>
      <c r="G11" s="155"/>
      <c r="H11" s="157"/>
      <c r="I11" s="155"/>
      <c r="J11" s="163"/>
      <c r="K11" s="155"/>
      <c r="L11" s="155"/>
      <c r="M11" s="203"/>
    </row>
    <row r="12" spans="1:13" ht="25.15" customHeight="1">
      <c r="A12" s="179" t="s">
        <v>56</v>
      </c>
      <c r="B12" s="160">
        <v>40115</v>
      </c>
      <c r="C12" s="160">
        <v>43737</v>
      </c>
      <c r="D12" s="26" t="s">
        <v>0</v>
      </c>
      <c r="E12" s="26">
        <v>75892</v>
      </c>
      <c r="F12" s="155"/>
      <c r="G12" s="155">
        <v>4000</v>
      </c>
      <c r="H12" s="157"/>
      <c r="I12" s="155">
        <v>6201.7762000000002</v>
      </c>
      <c r="J12" s="155"/>
      <c r="K12" s="155">
        <f>372829.86217+I12</f>
        <v>379031.63837</v>
      </c>
      <c r="L12" s="155"/>
      <c r="M12" s="203" t="s">
        <v>115</v>
      </c>
    </row>
    <row r="13" spans="1:13" ht="25.9" customHeight="1">
      <c r="A13" s="179"/>
      <c r="B13" s="160"/>
      <c r="C13" s="160"/>
      <c r="D13" s="26" t="s">
        <v>2</v>
      </c>
      <c r="E13" s="26">
        <v>140000</v>
      </c>
      <c r="F13" s="155"/>
      <c r="G13" s="155"/>
      <c r="H13" s="157"/>
      <c r="I13" s="155"/>
      <c r="J13" s="155"/>
      <c r="K13" s="155"/>
      <c r="L13" s="155"/>
      <c r="M13" s="203"/>
    </row>
    <row r="14" spans="1:13" s="9" customFormat="1" ht="24" customHeight="1">
      <c r="A14" s="216" t="s">
        <v>55</v>
      </c>
      <c r="B14" s="146" t="s">
        <v>71</v>
      </c>
      <c r="C14" s="146" t="s">
        <v>72</v>
      </c>
      <c r="D14" s="49" t="s">
        <v>4</v>
      </c>
      <c r="E14" s="49">
        <v>108190</v>
      </c>
      <c r="F14" s="158"/>
      <c r="G14" s="158">
        <v>56000</v>
      </c>
      <c r="H14" s="149"/>
      <c r="I14" s="149">
        <v>2822.5207500000001</v>
      </c>
      <c r="J14" s="158"/>
      <c r="K14" s="158">
        <f>61088.39635+I14</f>
        <v>63910.917100000006</v>
      </c>
      <c r="L14" s="158"/>
      <c r="M14" s="152" t="s">
        <v>117</v>
      </c>
    </row>
    <row r="15" spans="1:13" s="9" customFormat="1" ht="24.6" customHeight="1">
      <c r="A15" s="217"/>
      <c r="B15" s="148"/>
      <c r="C15" s="148"/>
      <c r="D15" s="49" t="s">
        <v>1</v>
      </c>
      <c r="E15" s="49">
        <v>114000</v>
      </c>
      <c r="F15" s="159"/>
      <c r="G15" s="159"/>
      <c r="H15" s="151"/>
      <c r="I15" s="151"/>
      <c r="J15" s="159"/>
      <c r="K15" s="159"/>
      <c r="L15" s="159"/>
      <c r="M15" s="153"/>
    </row>
    <row r="16" spans="1:13" ht="79.5" customHeight="1">
      <c r="A16" s="50" t="s">
        <v>20</v>
      </c>
      <c r="B16" s="14">
        <v>40163</v>
      </c>
      <c r="C16" s="28">
        <v>45101</v>
      </c>
      <c r="D16" s="26" t="s">
        <v>3</v>
      </c>
      <c r="E16" s="26">
        <v>22132000</v>
      </c>
      <c r="F16" s="26"/>
      <c r="G16" s="107">
        <v>1600</v>
      </c>
      <c r="H16" s="109"/>
      <c r="I16" s="137">
        <v>342.02793000000003</v>
      </c>
      <c r="J16" s="137"/>
      <c r="K16" s="137">
        <f>395400.05161+I16</f>
        <v>395742.07954000001</v>
      </c>
      <c r="L16" s="137"/>
      <c r="M16" s="80" t="s">
        <v>144</v>
      </c>
    </row>
    <row r="17" spans="1:18" ht="78" customHeight="1">
      <c r="A17" s="50" t="s">
        <v>37</v>
      </c>
      <c r="B17" s="14">
        <v>41040</v>
      </c>
      <c r="C17" s="14">
        <v>43797</v>
      </c>
      <c r="D17" s="26" t="s">
        <v>4</v>
      </c>
      <c r="E17" s="26">
        <v>200000</v>
      </c>
      <c r="F17" s="26">
        <v>20000</v>
      </c>
      <c r="G17" s="107">
        <v>52300</v>
      </c>
      <c r="H17" s="109">
        <v>8050</v>
      </c>
      <c r="I17" s="137">
        <v>3462.1809199999998</v>
      </c>
      <c r="J17" s="137">
        <v>473.52472</v>
      </c>
      <c r="K17" s="137">
        <f>299698.79166+I17</f>
        <v>303160.97258</v>
      </c>
      <c r="L17" s="137">
        <f>30995.84934+J17</f>
        <v>31469.374060000002</v>
      </c>
      <c r="M17" s="80" t="s">
        <v>155</v>
      </c>
    </row>
    <row r="18" spans="1:18" s="9" customFormat="1" ht="40.9" customHeight="1">
      <c r="A18" s="198" t="s">
        <v>86</v>
      </c>
      <c r="B18" s="73" t="s">
        <v>112</v>
      </c>
      <c r="C18" s="73" t="s">
        <v>113</v>
      </c>
      <c r="D18" s="74" t="s">
        <v>4</v>
      </c>
      <c r="E18" s="74">
        <v>16000</v>
      </c>
      <c r="F18" s="74"/>
      <c r="G18" s="158">
        <v>45600</v>
      </c>
      <c r="H18" s="149"/>
      <c r="I18" s="158"/>
      <c r="J18" s="158"/>
      <c r="K18" s="158">
        <f>125.74445+I18</f>
        <v>125.74445</v>
      </c>
      <c r="L18" s="158"/>
      <c r="M18" s="152" t="s">
        <v>122</v>
      </c>
    </row>
    <row r="19" spans="1:18" s="9" customFormat="1" ht="36" customHeight="1">
      <c r="A19" s="199"/>
      <c r="B19" s="73"/>
      <c r="C19" s="73"/>
      <c r="D19" s="74"/>
      <c r="E19" s="74"/>
      <c r="F19" s="74"/>
      <c r="G19" s="159"/>
      <c r="H19" s="151"/>
      <c r="I19" s="159"/>
      <c r="J19" s="159"/>
      <c r="K19" s="159"/>
      <c r="L19" s="159"/>
      <c r="M19" s="153"/>
    </row>
    <row r="20" spans="1:18" s="9" customFormat="1" ht="43.9" customHeight="1">
      <c r="A20" s="75" t="s">
        <v>85</v>
      </c>
      <c r="B20" s="95">
        <v>43378</v>
      </c>
      <c r="C20" s="95">
        <v>45657</v>
      </c>
      <c r="D20" s="94" t="s">
        <v>4</v>
      </c>
      <c r="E20" s="94">
        <v>255.297</v>
      </c>
      <c r="F20" s="66"/>
      <c r="G20" s="107">
        <v>63550</v>
      </c>
      <c r="H20" s="66"/>
      <c r="I20" s="131">
        <v>267.71526</v>
      </c>
      <c r="J20" s="66"/>
      <c r="K20" s="130">
        <f>113756.3746+I20</f>
        <v>114024.08985999999</v>
      </c>
      <c r="L20" s="66"/>
      <c r="M20" s="80" t="s">
        <v>156</v>
      </c>
    </row>
    <row r="21" spans="1:18" s="9" customFormat="1" ht="39" customHeight="1">
      <c r="A21" s="75" t="s">
        <v>84</v>
      </c>
      <c r="B21" s="146">
        <v>42652</v>
      </c>
      <c r="C21" s="146">
        <v>44539</v>
      </c>
      <c r="D21" s="149" t="s">
        <v>4</v>
      </c>
      <c r="E21" s="149">
        <v>250</v>
      </c>
      <c r="F21" s="66"/>
      <c r="G21" s="107">
        <v>96850</v>
      </c>
      <c r="H21" s="66"/>
      <c r="I21" s="66"/>
      <c r="J21" s="66"/>
      <c r="K21" s="107">
        <f>201682.00984+I21</f>
        <v>201682.00984000001</v>
      </c>
      <c r="L21" s="66"/>
      <c r="M21" s="80" t="s">
        <v>157</v>
      </c>
    </row>
    <row r="22" spans="1:18" s="9" customFormat="1" ht="49.5" customHeight="1">
      <c r="A22" s="75" t="s">
        <v>83</v>
      </c>
      <c r="B22" s="147"/>
      <c r="C22" s="147"/>
      <c r="D22" s="150"/>
      <c r="E22" s="150"/>
      <c r="F22" s="66"/>
      <c r="G22" s="107">
        <v>48850</v>
      </c>
      <c r="H22" s="66"/>
      <c r="I22" s="66"/>
      <c r="J22" s="66"/>
      <c r="K22" s="107"/>
      <c r="L22" s="66"/>
      <c r="M22" s="80" t="s">
        <v>158</v>
      </c>
    </row>
    <row r="23" spans="1:18" s="9" customFormat="1" ht="48" customHeight="1">
      <c r="A23" s="75" t="s">
        <v>82</v>
      </c>
      <c r="B23" s="148"/>
      <c r="C23" s="148"/>
      <c r="D23" s="151"/>
      <c r="E23" s="151"/>
      <c r="F23" s="66"/>
      <c r="G23" s="107">
        <v>48700</v>
      </c>
      <c r="H23" s="66"/>
      <c r="I23" s="66"/>
      <c r="J23" s="66"/>
      <c r="K23" s="107">
        <f>20357.40381+I23</f>
        <v>20357.40381</v>
      </c>
      <c r="L23" s="66"/>
      <c r="M23" s="80" t="s">
        <v>159</v>
      </c>
    </row>
    <row r="24" spans="1:18" s="9" customFormat="1" ht="34.5" hidden="1" customHeight="1">
      <c r="A24" s="75" t="s">
        <v>81</v>
      </c>
      <c r="B24" s="65"/>
      <c r="C24" s="65"/>
      <c r="D24" s="66"/>
      <c r="E24" s="66"/>
      <c r="F24" s="66"/>
      <c r="G24" s="93"/>
      <c r="H24" s="66"/>
      <c r="I24" s="66"/>
      <c r="J24" s="66"/>
      <c r="K24" s="93"/>
      <c r="L24" s="66"/>
      <c r="M24" s="80" t="s">
        <v>118</v>
      </c>
    </row>
    <row r="25" spans="1:18" s="9" customFormat="1" ht="38.25" hidden="1" customHeight="1">
      <c r="A25" s="75" t="s">
        <v>77</v>
      </c>
      <c r="B25" s="65"/>
      <c r="C25" s="65"/>
      <c r="D25" s="66"/>
      <c r="E25" s="66"/>
      <c r="F25" s="66"/>
      <c r="G25" s="93"/>
      <c r="H25" s="66"/>
      <c r="I25" s="66"/>
      <c r="J25" s="66"/>
      <c r="K25" s="93"/>
      <c r="L25" s="66"/>
      <c r="M25" s="80" t="s">
        <v>88</v>
      </c>
    </row>
    <row r="26" spans="1:18" s="9" customFormat="1" ht="52.9" customHeight="1">
      <c r="A26" s="75" t="s">
        <v>87</v>
      </c>
      <c r="B26" s="65"/>
      <c r="C26" s="65"/>
      <c r="D26" s="66"/>
      <c r="E26" s="66"/>
      <c r="F26" s="66"/>
      <c r="G26" s="107">
        <v>122275</v>
      </c>
      <c r="H26" s="66"/>
      <c r="I26" s="66"/>
      <c r="J26" s="66"/>
      <c r="K26" s="107"/>
      <c r="L26" s="66"/>
      <c r="M26" s="80" t="s">
        <v>164</v>
      </c>
    </row>
    <row r="27" spans="1:18" s="9" customFormat="1" ht="33" customHeight="1">
      <c r="A27" s="75" t="s">
        <v>78</v>
      </c>
      <c r="B27" s="65"/>
      <c r="C27" s="65"/>
      <c r="D27" s="66"/>
      <c r="E27" s="66"/>
      <c r="F27" s="66"/>
      <c r="G27" s="93"/>
      <c r="H27" s="66"/>
      <c r="I27" s="66"/>
      <c r="J27" s="66"/>
      <c r="K27" s="93"/>
      <c r="L27" s="66"/>
      <c r="M27" s="80" t="s">
        <v>145</v>
      </c>
    </row>
    <row r="28" spans="1:18" s="9" customFormat="1" ht="34.5" customHeight="1">
      <c r="A28" s="75" t="s">
        <v>80</v>
      </c>
      <c r="B28" s="65"/>
      <c r="C28" s="65"/>
      <c r="D28" s="66"/>
      <c r="E28" s="66"/>
      <c r="F28" s="66"/>
      <c r="G28" s="93"/>
      <c r="H28" s="66"/>
      <c r="I28" s="66"/>
      <c r="J28" s="66"/>
      <c r="K28" s="93"/>
      <c r="L28" s="66"/>
      <c r="M28" s="80" t="s">
        <v>146</v>
      </c>
    </row>
    <row r="29" spans="1:18" s="3" customFormat="1" ht="28.5" customHeight="1">
      <c r="A29" s="180" t="s">
        <v>13</v>
      </c>
      <c r="B29" s="196">
        <v>40990</v>
      </c>
      <c r="C29" s="196">
        <v>43646</v>
      </c>
      <c r="D29" s="72" t="s">
        <v>0</v>
      </c>
      <c r="E29" s="72">
        <v>25800</v>
      </c>
      <c r="F29" s="155"/>
      <c r="G29" s="155">
        <v>2300</v>
      </c>
      <c r="H29" s="157"/>
      <c r="I29" s="155">
        <v>394.74991999999997</v>
      </c>
      <c r="J29" s="163"/>
      <c r="K29" s="155">
        <f>126586.68242+I29</f>
        <v>126981.43234</v>
      </c>
      <c r="L29" s="155"/>
      <c r="M29" s="203" t="s">
        <v>119</v>
      </c>
      <c r="N29" s="1"/>
      <c r="O29" s="1"/>
      <c r="P29" s="1"/>
      <c r="Q29" s="1"/>
      <c r="R29" s="1"/>
    </row>
    <row r="30" spans="1:18" s="3" customFormat="1" ht="19.899999999999999" customHeight="1">
      <c r="A30" s="180"/>
      <c r="B30" s="196"/>
      <c r="C30" s="196"/>
      <c r="D30" s="72" t="s">
        <v>1</v>
      </c>
      <c r="E30" s="72">
        <v>30000</v>
      </c>
      <c r="F30" s="155"/>
      <c r="G30" s="155"/>
      <c r="H30" s="157"/>
      <c r="I30" s="155"/>
      <c r="J30" s="163"/>
      <c r="K30" s="155"/>
      <c r="L30" s="155"/>
      <c r="M30" s="203"/>
      <c r="N30" s="1"/>
      <c r="O30" s="1"/>
      <c r="P30" s="1"/>
      <c r="Q30" s="1"/>
      <c r="R30" s="1"/>
    </row>
    <row r="31" spans="1:18" s="3" customFormat="1" ht="63.6" customHeight="1">
      <c r="A31" s="60" t="s">
        <v>66</v>
      </c>
      <c r="B31" s="48">
        <v>41829</v>
      </c>
      <c r="C31" s="48">
        <v>44012</v>
      </c>
      <c r="D31" s="72" t="s">
        <v>1</v>
      </c>
      <c r="E31" s="72">
        <v>75000</v>
      </c>
      <c r="F31" s="26"/>
      <c r="G31" s="107">
        <v>32000</v>
      </c>
      <c r="H31" s="109"/>
      <c r="I31" s="137">
        <v>3798.72327</v>
      </c>
      <c r="J31" s="137"/>
      <c r="K31" s="137">
        <f>111232.66285+I31</f>
        <v>115031.38612</v>
      </c>
      <c r="L31" s="137"/>
      <c r="M31" s="80" t="s">
        <v>166</v>
      </c>
      <c r="N31" s="1"/>
      <c r="O31" s="1"/>
      <c r="P31" s="1"/>
      <c r="Q31" s="1"/>
      <c r="R31" s="1"/>
    </row>
    <row r="32" spans="1:18" s="3" customFormat="1" ht="87.75" customHeight="1">
      <c r="A32" s="60" t="s">
        <v>48</v>
      </c>
      <c r="B32" s="48">
        <v>42457</v>
      </c>
      <c r="C32" s="48">
        <v>44561</v>
      </c>
      <c r="D32" s="72" t="s">
        <v>1</v>
      </c>
      <c r="E32" s="72">
        <v>40000</v>
      </c>
      <c r="F32" s="26"/>
      <c r="G32" s="107">
        <v>20000</v>
      </c>
      <c r="H32" s="109"/>
      <c r="I32" s="137">
        <v>1461.36915</v>
      </c>
      <c r="J32" s="137"/>
      <c r="K32" s="137">
        <f>31603.92074+I32</f>
        <v>33065.28989</v>
      </c>
      <c r="L32" s="137"/>
      <c r="M32" s="80" t="s">
        <v>120</v>
      </c>
      <c r="N32" s="1"/>
      <c r="O32" s="1"/>
      <c r="P32" s="1"/>
      <c r="Q32" s="1"/>
      <c r="R32" s="1"/>
    </row>
    <row r="33" spans="1:18" s="3" customFormat="1" ht="52.5" customHeight="1">
      <c r="A33" s="75" t="s">
        <v>79</v>
      </c>
      <c r="B33" s="48" t="s">
        <v>74</v>
      </c>
      <c r="C33" s="48" t="s">
        <v>147</v>
      </c>
      <c r="D33" s="72" t="s">
        <v>1</v>
      </c>
      <c r="E33" s="72">
        <v>80000</v>
      </c>
      <c r="F33" s="69"/>
      <c r="G33" s="109">
        <v>15400</v>
      </c>
      <c r="H33" s="109"/>
      <c r="I33" s="138">
        <v>1574.9938</v>
      </c>
      <c r="J33" s="138"/>
      <c r="K33" s="137">
        <f>15769.12805+I33</f>
        <v>17344.12185</v>
      </c>
      <c r="L33" s="138"/>
      <c r="M33" s="80" t="s">
        <v>160</v>
      </c>
      <c r="N33" s="91"/>
      <c r="O33" s="1"/>
      <c r="P33" s="1"/>
      <c r="Q33" s="1"/>
      <c r="R33" s="1"/>
    </row>
    <row r="34" spans="1:18" s="3" customFormat="1" ht="48.75" customHeight="1">
      <c r="A34" s="56" t="s">
        <v>44</v>
      </c>
      <c r="B34" s="14">
        <v>42752</v>
      </c>
      <c r="C34" s="14">
        <v>44196</v>
      </c>
      <c r="D34" s="26" t="s">
        <v>43</v>
      </c>
      <c r="E34" s="26">
        <v>8000</v>
      </c>
      <c r="F34" s="26"/>
      <c r="G34" s="107">
        <v>9200</v>
      </c>
      <c r="H34" s="109"/>
      <c r="I34" s="137">
        <v>97.661140000000003</v>
      </c>
      <c r="J34" s="137"/>
      <c r="K34" s="137">
        <f>795.30622+I34</f>
        <v>892.9673600000001</v>
      </c>
      <c r="L34" s="137"/>
      <c r="M34" s="80" t="s">
        <v>121</v>
      </c>
      <c r="N34" s="1"/>
      <c r="O34" s="1"/>
      <c r="P34" s="1"/>
      <c r="Q34" s="1"/>
      <c r="R34" s="1"/>
    </row>
    <row r="35" spans="1:18" s="3" customFormat="1" ht="44.45" customHeight="1" thickBot="1">
      <c r="A35" s="125" t="s">
        <v>45</v>
      </c>
      <c r="B35" s="126">
        <v>42734</v>
      </c>
      <c r="C35" s="126">
        <v>43830</v>
      </c>
      <c r="D35" s="127" t="s">
        <v>4</v>
      </c>
      <c r="E35" s="127">
        <v>6000</v>
      </c>
      <c r="F35" s="127"/>
      <c r="G35" s="127">
        <v>2700</v>
      </c>
      <c r="H35" s="128"/>
      <c r="I35" s="31"/>
      <c r="J35" s="31"/>
      <c r="K35" s="31">
        <f>137.055+I35</f>
        <v>137.05500000000001</v>
      </c>
      <c r="L35" s="31"/>
      <c r="M35" s="129" t="s">
        <v>165</v>
      </c>
      <c r="N35" s="1"/>
      <c r="O35" s="1"/>
      <c r="P35" s="1"/>
      <c r="Q35" s="1"/>
      <c r="R35" s="1"/>
    </row>
    <row r="36" spans="1:18" s="7" customFormat="1" ht="30" customHeight="1" thickBot="1">
      <c r="A36" s="167" t="s">
        <v>7</v>
      </c>
      <c r="B36" s="168"/>
      <c r="C36" s="168"/>
      <c r="D36" s="168"/>
      <c r="E36" s="168"/>
      <c r="F36" s="169"/>
      <c r="G36" s="38">
        <f>SUM(G37:G53)</f>
        <v>211480</v>
      </c>
      <c r="H36" s="38">
        <f t="shared" ref="H36:L36" si="1">SUM(H37:H53)</f>
        <v>7100</v>
      </c>
      <c r="I36" s="38">
        <f t="shared" si="1"/>
        <v>19807.438609999997</v>
      </c>
      <c r="J36" s="38">
        <f t="shared" si="1"/>
        <v>994.07970999999998</v>
      </c>
      <c r="K36" s="38">
        <f t="shared" si="1"/>
        <v>790892.09176999982</v>
      </c>
      <c r="L36" s="38">
        <f t="shared" si="1"/>
        <v>15883.10564</v>
      </c>
      <c r="M36" s="87"/>
    </row>
    <row r="37" spans="1:18" ht="50.25" customHeight="1">
      <c r="A37" s="55" t="s">
        <v>22</v>
      </c>
      <c r="B37" s="57">
        <v>41869</v>
      </c>
      <c r="C37" s="57">
        <v>43646</v>
      </c>
      <c r="D37" s="54" t="s">
        <v>1</v>
      </c>
      <c r="E37" s="54">
        <v>30000</v>
      </c>
      <c r="F37" s="54">
        <v>5000</v>
      </c>
      <c r="G37" s="32">
        <v>8800</v>
      </c>
      <c r="H37" s="67">
        <v>3600</v>
      </c>
      <c r="I37" s="32">
        <v>1513.68201</v>
      </c>
      <c r="J37" s="67">
        <v>994.07970999999998</v>
      </c>
      <c r="K37" s="32">
        <f>42550.40846+I37</f>
        <v>44064.090469999996</v>
      </c>
      <c r="L37" s="32">
        <f>4758.74569+J37</f>
        <v>5752.8253999999997</v>
      </c>
      <c r="M37" s="85" t="s">
        <v>91</v>
      </c>
    </row>
    <row r="38" spans="1:18" ht="55.5" customHeight="1">
      <c r="A38" s="56" t="s">
        <v>14</v>
      </c>
      <c r="B38" s="51">
        <v>40227</v>
      </c>
      <c r="C38" s="28">
        <v>43465</v>
      </c>
      <c r="D38" s="52" t="s">
        <v>4</v>
      </c>
      <c r="E38" s="52">
        <v>3000</v>
      </c>
      <c r="F38" s="52"/>
      <c r="G38" s="143">
        <v>3000</v>
      </c>
      <c r="H38" s="117"/>
      <c r="I38" s="143"/>
      <c r="J38" s="143"/>
      <c r="K38" s="143">
        <f>74.757+I38</f>
        <v>74.757000000000005</v>
      </c>
      <c r="L38" s="143"/>
      <c r="M38" s="80" t="s">
        <v>92</v>
      </c>
    </row>
    <row r="39" spans="1:18" ht="78" customHeight="1">
      <c r="A39" s="56" t="s">
        <v>38</v>
      </c>
      <c r="B39" s="51">
        <v>41621</v>
      </c>
      <c r="C39" s="51">
        <v>43465</v>
      </c>
      <c r="D39" s="52" t="s">
        <v>4</v>
      </c>
      <c r="E39" s="52">
        <v>20000</v>
      </c>
      <c r="F39" s="52">
        <v>2000</v>
      </c>
      <c r="G39" s="143">
        <v>15000</v>
      </c>
      <c r="H39" s="117">
        <v>1000</v>
      </c>
      <c r="I39" s="143"/>
      <c r="J39" s="143"/>
      <c r="K39" s="33">
        <f>7439.85874+I39</f>
        <v>7439.8587399999997</v>
      </c>
      <c r="L39" s="143">
        <f>4849.88963+J39</f>
        <v>4849.8896299999997</v>
      </c>
      <c r="M39" s="80" t="s">
        <v>148</v>
      </c>
    </row>
    <row r="40" spans="1:18" ht="69.75" customHeight="1">
      <c r="A40" s="176" t="s">
        <v>67</v>
      </c>
      <c r="B40" s="160">
        <v>40350</v>
      </c>
      <c r="C40" s="160">
        <v>44030</v>
      </c>
      <c r="D40" s="52" t="s">
        <v>0</v>
      </c>
      <c r="E40" s="52">
        <f>57986+10639</f>
        <v>68625</v>
      </c>
      <c r="F40" s="155"/>
      <c r="G40" s="205">
        <v>59650</v>
      </c>
      <c r="H40" s="177"/>
      <c r="I40" s="173">
        <v>7900.5061800000003</v>
      </c>
      <c r="J40" s="173"/>
      <c r="K40" s="174">
        <f>358756.19854+I40</f>
        <v>366656.70472000004</v>
      </c>
      <c r="L40" s="173"/>
      <c r="M40" s="203" t="s">
        <v>149</v>
      </c>
    </row>
    <row r="41" spans="1:18" ht="85.5" customHeight="1">
      <c r="A41" s="176"/>
      <c r="B41" s="160"/>
      <c r="C41" s="160"/>
      <c r="D41" s="52" t="s">
        <v>1</v>
      </c>
      <c r="E41" s="52">
        <f>48886+73000+20000</f>
        <v>141886</v>
      </c>
      <c r="F41" s="155"/>
      <c r="G41" s="206"/>
      <c r="H41" s="177"/>
      <c r="I41" s="173"/>
      <c r="J41" s="173"/>
      <c r="K41" s="175"/>
      <c r="L41" s="173"/>
      <c r="M41" s="203"/>
    </row>
    <row r="42" spans="1:18" ht="85.5" customHeight="1">
      <c r="A42" s="58" t="s">
        <v>49</v>
      </c>
      <c r="B42" s="51">
        <v>40996</v>
      </c>
      <c r="C42" s="51">
        <v>43403</v>
      </c>
      <c r="D42" s="52" t="s">
        <v>1</v>
      </c>
      <c r="E42" s="52">
        <v>60000</v>
      </c>
      <c r="F42" s="52"/>
      <c r="G42" s="143">
        <v>30</v>
      </c>
      <c r="H42" s="117"/>
      <c r="I42" s="143"/>
      <c r="J42" s="34"/>
      <c r="K42" s="143">
        <f>102881.35442+I42</f>
        <v>102881.35442</v>
      </c>
      <c r="L42" s="143"/>
      <c r="M42" s="80" t="s">
        <v>93</v>
      </c>
    </row>
    <row r="43" spans="1:18" ht="27.6" customHeight="1">
      <c r="A43" s="176" t="s">
        <v>15</v>
      </c>
      <c r="B43" s="160">
        <v>41222</v>
      </c>
      <c r="C43" s="160">
        <v>43830</v>
      </c>
      <c r="D43" s="52" t="s">
        <v>0</v>
      </c>
      <c r="E43" s="52">
        <v>19800</v>
      </c>
      <c r="F43" s="52"/>
      <c r="G43" s="173">
        <v>8500</v>
      </c>
      <c r="H43" s="177"/>
      <c r="I43" s="173">
        <v>2801.87201</v>
      </c>
      <c r="J43" s="173"/>
      <c r="K43" s="173">
        <f>57667.72863+I43</f>
        <v>60469.600639999997</v>
      </c>
      <c r="L43" s="173"/>
      <c r="M43" s="203" t="s">
        <v>111</v>
      </c>
    </row>
    <row r="44" spans="1:18" ht="42" customHeight="1">
      <c r="A44" s="176"/>
      <c r="B44" s="160"/>
      <c r="C44" s="160"/>
      <c r="D44" s="52" t="s">
        <v>1</v>
      </c>
      <c r="E44" s="52">
        <v>9000</v>
      </c>
      <c r="F44" s="52"/>
      <c r="G44" s="173"/>
      <c r="H44" s="177"/>
      <c r="I44" s="173"/>
      <c r="J44" s="173"/>
      <c r="K44" s="173"/>
      <c r="L44" s="173"/>
      <c r="M44" s="203"/>
    </row>
    <row r="45" spans="1:18" ht="56.25" customHeight="1">
      <c r="A45" s="58" t="s">
        <v>33</v>
      </c>
      <c r="B45" s="51">
        <v>42223</v>
      </c>
      <c r="C45" s="51">
        <v>43830</v>
      </c>
      <c r="D45" s="52" t="s">
        <v>1</v>
      </c>
      <c r="E45" s="52">
        <v>60000</v>
      </c>
      <c r="F45" s="52"/>
      <c r="G45" s="143">
        <v>24000</v>
      </c>
      <c r="H45" s="117"/>
      <c r="I45" s="143">
        <v>2329.27081</v>
      </c>
      <c r="J45" s="143"/>
      <c r="K45" s="143">
        <f>31101.72865+I45</f>
        <v>33430.999459999999</v>
      </c>
      <c r="L45" s="143"/>
      <c r="M45" s="80" t="s">
        <v>94</v>
      </c>
    </row>
    <row r="46" spans="1:18" ht="47.25" customHeight="1">
      <c r="A46" s="56" t="s">
        <v>34</v>
      </c>
      <c r="B46" s="51">
        <v>42136</v>
      </c>
      <c r="C46" s="51">
        <v>43232</v>
      </c>
      <c r="D46" s="52" t="s">
        <v>4</v>
      </c>
      <c r="E46" s="52">
        <v>4300</v>
      </c>
      <c r="F46" s="52">
        <v>1843</v>
      </c>
      <c r="G46" s="143">
        <v>1000</v>
      </c>
      <c r="H46" s="117"/>
      <c r="I46" s="143"/>
      <c r="J46" s="143"/>
      <c r="K46" s="143">
        <f>119.7894+I46</f>
        <v>119.7894</v>
      </c>
      <c r="L46" s="143"/>
      <c r="M46" s="80" t="s">
        <v>95</v>
      </c>
    </row>
    <row r="47" spans="1:18" ht="53.25" customHeight="1">
      <c r="A47" s="56" t="s">
        <v>58</v>
      </c>
      <c r="B47" s="51">
        <v>42563</v>
      </c>
      <c r="C47" s="51">
        <v>43036</v>
      </c>
      <c r="D47" s="52" t="s">
        <v>4</v>
      </c>
      <c r="E47" s="52">
        <v>10000</v>
      </c>
      <c r="F47" s="52">
        <v>2000</v>
      </c>
      <c r="G47" s="143"/>
      <c r="H47" s="117">
        <v>500</v>
      </c>
      <c r="I47" s="143"/>
      <c r="J47" s="143"/>
      <c r="K47" s="143">
        <f>12332.76308+I47</f>
        <v>12332.763080000001</v>
      </c>
      <c r="L47" s="35">
        <f>5280.39061+J47</f>
        <v>5280.3906100000004</v>
      </c>
      <c r="M47" s="80" t="s">
        <v>96</v>
      </c>
    </row>
    <row r="48" spans="1:18" s="3" customFormat="1" ht="47.45" customHeight="1">
      <c r="A48" s="116" t="s">
        <v>133</v>
      </c>
      <c r="B48" s="120">
        <v>43285</v>
      </c>
      <c r="C48" s="121">
        <v>44016</v>
      </c>
      <c r="D48" s="115" t="s">
        <v>4</v>
      </c>
      <c r="E48" s="115">
        <v>2830</v>
      </c>
      <c r="F48" s="115">
        <v>1870</v>
      </c>
      <c r="G48" s="143">
        <v>3000</v>
      </c>
      <c r="H48" s="117">
        <v>1000</v>
      </c>
      <c r="I48" s="143"/>
      <c r="J48" s="34"/>
      <c r="K48" s="143"/>
      <c r="L48" s="143"/>
      <c r="M48" s="80" t="s">
        <v>141</v>
      </c>
      <c r="N48" s="1"/>
      <c r="O48" s="1"/>
      <c r="P48" s="1"/>
      <c r="Q48" s="1"/>
      <c r="R48" s="1"/>
    </row>
    <row r="49" spans="1:18" s="3" customFormat="1" ht="65.45" customHeight="1">
      <c r="A49" s="56" t="s">
        <v>41</v>
      </c>
      <c r="B49" s="51">
        <v>42411</v>
      </c>
      <c r="C49" s="51">
        <v>44238</v>
      </c>
      <c r="D49" s="52" t="s">
        <v>4</v>
      </c>
      <c r="E49" s="52">
        <v>100000</v>
      </c>
      <c r="F49" s="52"/>
      <c r="G49" s="143">
        <v>59500</v>
      </c>
      <c r="H49" s="117"/>
      <c r="I49" s="143">
        <v>5081.5694299999996</v>
      </c>
      <c r="J49" s="143"/>
      <c r="K49" s="143">
        <f>127652.683+I49</f>
        <v>132734.25242999999</v>
      </c>
      <c r="L49" s="143"/>
      <c r="M49" s="80" t="s">
        <v>97</v>
      </c>
      <c r="N49" s="1"/>
      <c r="O49" s="1"/>
      <c r="P49" s="1"/>
      <c r="Q49" s="1"/>
      <c r="R49" s="1"/>
    </row>
    <row r="50" spans="1:18" s="3" customFormat="1" ht="64.150000000000006" customHeight="1">
      <c r="A50" s="114" t="s">
        <v>61</v>
      </c>
      <c r="B50" s="111">
        <v>42713</v>
      </c>
      <c r="C50" s="111">
        <v>44561</v>
      </c>
      <c r="D50" s="107" t="s">
        <v>4</v>
      </c>
      <c r="E50" s="107">
        <v>100000</v>
      </c>
      <c r="F50" s="107"/>
      <c r="G50" s="143">
        <v>8000</v>
      </c>
      <c r="H50" s="117"/>
      <c r="I50" s="143"/>
      <c r="J50" s="143"/>
      <c r="K50" s="143"/>
      <c r="L50" s="143"/>
      <c r="M50" s="119" t="s">
        <v>150</v>
      </c>
      <c r="N50" s="1"/>
      <c r="O50" s="1"/>
      <c r="P50" s="1"/>
      <c r="Q50" s="1"/>
      <c r="R50" s="1"/>
    </row>
    <row r="51" spans="1:18" s="3" customFormat="1" ht="91.9" customHeight="1">
      <c r="A51" s="135" t="s">
        <v>161</v>
      </c>
      <c r="B51" s="133">
        <v>41884</v>
      </c>
      <c r="C51" s="133">
        <v>43830</v>
      </c>
      <c r="D51" s="132" t="s">
        <v>4</v>
      </c>
      <c r="E51" s="132">
        <v>13200</v>
      </c>
      <c r="F51" s="132"/>
      <c r="G51" s="143"/>
      <c r="H51" s="134"/>
      <c r="I51" s="143">
        <v>180.53817000000001</v>
      </c>
      <c r="J51" s="34"/>
      <c r="K51" s="143">
        <f>30507.38324+I51</f>
        <v>30687.921409999999</v>
      </c>
      <c r="L51" s="143"/>
      <c r="M51" s="145" t="s">
        <v>162</v>
      </c>
      <c r="N51" s="1"/>
      <c r="O51" s="1"/>
      <c r="P51" s="1"/>
      <c r="Q51" s="1"/>
      <c r="R51" s="1"/>
    </row>
    <row r="52" spans="1:18" s="3" customFormat="1" ht="48.6" customHeight="1">
      <c r="A52" s="114" t="s">
        <v>134</v>
      </c>
      <c r="B52" s="120">
        <v>43035</v>
      </c>
      <c r="C52" s="120">
        <v>44925</v>
      </c>
      <c r="D52" s="115" t="s">
        <v>4</v>
      </c>
      <c r="E52" s="115">
        <v>30000</v>
      </c>
      <c r="F52" s="115">
        <v>2000</v>
      </c>
      <c r="G52" s="143">
        <v>1000</v>
      </c>
      <c r="H52" s="117">
        <v>1000</v>
      </c>
      <c r="I52" s="115"/>
      <c r="J52" s="115"/>
      <c r="K52" s="115"/>
      <c r="L52" s="115"/>
      <c r="M52" s="119" t="s">
        <v>138</v>
      </c>
      <c r="N52" s="1"/>
      <c r="O52" s="1"/>
      <c r="P52" s="1"/>
      <c r="Q52" s="1"/>
      <c r="R52" s="1"/>
    </row>
    <row r="53" spans="1:18" s="3" customFormat="1" ht="81" customHeight="1" thickBot="1">
      <c r="A53" s="114" t="s">
        <v>135</v>
      </c>
      <c r="B53" s="122">
        <v>27.112017999999999</v>
      </c>
      <c r="C53" s="122">
        <v>27.112020999999999</v>
      </c>
      <c r="D53" s="62" t="s">
        <v>4</v>
      </c>
      <c r="E53" s="62">
        <v>15000</v>
      </c>
      <c r="F53" s="62"/>
      <c r="G53" s="62">
        <v>20000</v>
      </c>
      <c r="H53" s="70"/>
      <c r="I53" s="62"/>
      <c r="J53" s="62"/>
      <c r="K53" s="63"/>
      <c r="L53" s="62"/>
      <c r="M53" s="119" t="s">
        <v>154</v>
      </c>
      <c r="N53" s="1"/>
      <c r="O53" s="1"/>
      <c r="P53" s="1"/>
      <c r="Q53" s="1"/>
      <c r="R53" s="1"/>
    </row>
    <row r="54" spans="1:18" s="7" customFormat="1" ht="23.25" customHeight="1" thickBot="1">
      <c r="A54" s="170" t="s">
        <v>8</v>
      </c>
      <c r="B54" s="171"/>
      <c r="C54" s="171"/>
      <c r="D54" s="171"/>
      <c r="E54" s="171"/>
      <c r="F54" s="172"/>
      <c r="G54" s="36">
        <f>SUM(G55:G62)</f>
        <v>156290</v>
      </c>
      <c r="H54" s="36">
        <f t="shared" ref="H54:L54" si="2">SUM(H55:H62)</f>
        <v>11695</v>
      </c>
      <c r="I54" s="36">
        <f>SUM(I55:I62)</f>
        <v>38866.971250000002</v>
      </c>
      <c r="J54" s="36">
        <f t="shared" si="2"/>
        <v>2674.7332799999999</v>
      </c>
      <c r="K54" s="36">
        <f t="shared" si="2"/>
        <v>706240.4458339999</v>
      </c>
      <c r="L54" s="36">
        <f t="shared" si="2"/>
        <v>100295.15537000001</v>
      </c>
      <c r="M54" s="86"/>
    </row>
    <row r="55" spans="1:18" ht="42" customHeight="1">
      <c r="A55" s="55" t="s">
        <v>62</v>
      </c>
      <c r="B55" s="57">
        <v>39626</v>
      </c>
      <c r="C55" s="57">
        <v>43373</v>
      </c>
      <c r="D55" s="54" t="s">
        <v>4</v>
      </c>
      <c r="E55" s="54">
        <v>3700</v>
      </c>
      <c r="F55" s="54">
        <v>1814</v>
      </c>
      <c r="G55" s="106">
        <v>1500</v>
      </c>
      <c r="H55" s="108"/>
      <c r="I55" s="106"/>
      <c r="J55" s="113"/>
      <c r="K55" s="106">
        <f>6580.461404+I55</f>
        <v>6580.4614039999997</v>
      </c>
      <c r="L55" s="106">
        <f>3649.68102+J55</f>
        <v>3649.68102</v>
      </c>
      <c r="M55" s="85" t="s">
        <v>98</v>
      </c>
    </row>
    <row r="56" spans="1:18" ht="222" customHeight="1">
      <c r="A56" s="165" t="s">
        <v>51</v>
      </c>
      <c r="B56" s="160">
        <v>40673</v>
      </c>
      <c r="C56" s="160">
        <v>28.032021</v>
      </c>
      <c r="D56" s="52" t="s">
        <v>0</v>
      </c>
      <c r="E56" s="52">
        <f>51343+25047+64205+23005</f>
        <v>163600</v>
      </c>
      <c r="F56" s="155"/>
      <c r="G56" s="155">
        <v>122700</v>
      </c>
      <c r="H56" s="157"/>
      <c r="I56" s="155">
        <v>31923.012900000002</v>
      </c>
      <c r="J56" s="163"/>
      <c r="K56" s="155">
        <f>491362.10463+I56</f>
        <v>523285.11753000005</v>
      </c>
      <c r="L56" s="155"/>
      <c r="M56" s="203" t="s">
        <v>167</v>
      </c>
    </row>
    <row r="57" spans="1:18" ht="246.75" customHeight="1">
      <c r="A57" s="165"/>
      <c r="B57" s="160"/>
      <c r="C57" s="160"/>
      <c r="D57" s="52" t="s">
        <v>1</v>
      </c>
      <c r="E57" s="52">
        <f>108000+43000+99000</f>
        <v>250000</v>
      </c>
      <c r="F57" s="155"/>
      <c r="G57" s="155"/>
      <c r="H57" s="157"/>
      <c r="I57" s="155"/>
      <c r="J57" s="163"/>
      <c r="K57" s="155"/>
      <c r="L57" s="155"/>
      <c r="M57" s="203"/>
    </row>
    <row r="58" spans="1:18" ht="67.5" customHeight="1">
      <c r="A58" s="78" t="s">
        <v>76</v>
      </c>
      <c r="B58" s="77" t="s">
        <v>75</v>
      </c>
      <c r="C58" s="77">
        <v>44119</v>
      </c>
      <c r="D58" s="74" t="s">
        <v>4</v>
      </c>
      <c r="E58" s="76">
        <v>100</v>
      </c>
      <c r="F58" s="76"/>
      <c r="G58" s="107"/>
      <c r="H58" s="109">
        <v>2500</v>
      </c>
      <c r="I58" s="66"/>
      <c r="J58" s="88"/>
      <c r="K58" s="137">
        <f>35.07802+I58</f>
        <v>35.078020000000002</v>
      </c>
      <c r="L58" s="66"/>
      <c r="M58" s="80" t="s">
        <v>151</v>
      </c>
    </row>
    <row r="59" spans="1:18" ht="150" customHeight="1">
      <c r="A59" s="56" t="s">
        <v>50</v>
      </c>
      <c r="B59" s="51">
        <v>40773</v>
      </c>
      <c r="C59" s="51">
        <v>44284</v>
      </c>
      <c r="D59" s="53" t="s">
        <v>4</v>
      </c>
      <c r="E59" s="53">
        <f>2988.339+4000+20000</f>
        <v>26988.339</v>
      </c>
      <c r="F59" s="53">
        <f>4500+6728.536+9000+4000+7000</f>
        <v>31228.536</v>
      </c>
      <c r="G59" s="107">
        <v>18400</v>
      </c>
      <c r="H59" s="109">
        <v>2850</v>
      </c>
      <c r="I59" s="139">
        <v>1765.6294</v>
      </c>
      <c r="J59" s="139">
        <v>1123.79691</v>
      </c>
      <c r="K59" s="137">
        <f>46200.7648+I59</f>
        <v>47966.394199999995</v>
      </c>
      <c r="L59" s="139">
        <f>57507.50654+J59</f>
        <v>58631.303449999999</v>
      </c>
      <c r="M59" s="80" t="s">
        <v>99</v>
      </c>
    </row>
    <row r="60" spans="1:18" ht="44.25" customHeight="1">
      <c r="A60" s="56" t="s">
        <v>47</v>
      </c>
      <c r="B60" s="51">
        <v>42360</v>
      </c>
      <c r="C60" s="51">
        <v>44012</v>
      </c>
      <c r="D60" s="52" t="s">
        <v>4</v>
      </c>
      <c r="E60" s="52">
        <v>30000</v>
      </c>
      <c r="F60" s="52">
        <v>2000</v>
      </c>
      <c r="G60" s="107">
        <v>9690</v>
      </c>
      <c r="H60" s="109">
        <v>4345</v>
      </c>
      <c r="I60" s="137">
        <v>161.09530000000001</v>
      </c>
      <c r="J60" s="137">
        <v>220.72931</v>
      </c>
      <c r="K60" s="137">
        <f>34681.49112+I60</f>
        <v>34842.58642</v>
      </c>
      <c r="L60" s="137">
        <f>3499.04143+J60</f>
        <v>3719.7707400000004</v>
      </c>
      <c r="M60" s="80" t="s">
        <v>100</v>
      </c>
    </row>
    <row r="61" spans="1:18" ht="45" customHeight="1">
      <c r="A61" s="56" t="s">
        <v>59</v>
      </c>
      <c r="B61" s="51">
        <v>41506</v>
      </c>
      <c r="C61" s="28">
        <v>43332</v>
      </c>
      <c r="D61" s="52" t="s">
        <v>4</v>
      </c>
      <c r="E61" s="52">
        <v>40000</v>
      </c>
      <c r="F61" s="52">
        <v>8000</v>
      </c>
      <c r="G61" s="107">
        <v>4000</v>
      </c>
      <c r="H61" s="109">
        <v>700</v>
      </c>
      <c r="I61" s="137">
        <v>5017.2336500000001</v>
      </c>
      <c r="J61" s="139">
        <v>1330.20706</v>
      </c>
      <c r="K61" s="137">
        <f>88513.57461+I61</f>
        <v>93530.808259999991</v>
      </c>
      <c r="L61" s="137">
        <f>17820.5113+J61</f>
        <v>19150.718359999999</v>
      </c>
      <c r="M61" s="80" t="s">
        <v>101</v>
      </c>
    </row>
    <row r="62" spans="1:18" ht="45" customHeight="1" thickBot="1">
      <c r="A62" s="29" t="s">
        <v>52</v>
      </c>
      <c r="B62" s="30">
        <v>41480</v>
      </c>
      <c r="C62" s="30">
        <v>43889</v>
      </c>
      <c r="D62" s="31" t="s">
        <v>1</v>
      </c>
      <c r="E62" s="31"/>
      <c r="F62" s="31">
        <v>10052.155000000001</v>
      </c>
      <c r="G62" s="31"/>
      <c r="H62" s="68">
        <v>1300</v>
      </c>
      <c r="I62" s="31"/>
      <c r="J62" s="37"/>
      <c r="K62" s="31"/>
      <c r="L62" s="31">
        <f>15143.6818+J62</f>
        <v>15143.6818</v>
      </c>
      <c r="M62" s="84" t="s">
        <v>73</v>
      </c>
    </row>
    <row r="63" spans="1:18" s="7" customFormat="1" ht="30" customHeight="1" thickBot="1">
      <c r="A63" s="167" t="s">
        <v>25</v>
      </c>
      <c r="B63" s="168"/>
      <c r="C63" s="168"/>
      <c r="D63" s="168"/>
      <c r="E63" s="168"/>
      <c r="F63" s="169"/>
      <c r="G63" s="38">
        <f>SUM(G64:G75)</f>
        <v>86600</v>
      </c>
      <c r="H63" s="38">
        <f t="shared" ref="H63:L63" si="3">SUM(H64:H75)</f>
        <v>14000</v>
      </c>
      <c r="I63" s="38">
        <f t="shared" si="3"/>
        <v>4045.9344700000001</v>
      </c>
      <c r="J63" s="38">
        <f t="shared" si="3"/>
        <v>0</v>
      </c>
      <c r="K63" s="38">
        <f t="shared" si="3"/>
        <v>262249.66003500001</v>
      </c>
      <c r="L63" s="38">
        <f t="shared" si="3"/>
        <v>20950.680079999998</v>
      </c>
      <c r="M63" s="87"/>
    </row>
    <row r="64" spans="1:18" ht="91.5" customHeight="1">
      <c r="A64" s="89" t="s">
        <v>89</v>
      </c>
      <c r="B64" s="90">
        <v>43105</v>
      </c>
      <c r="C64" s="90" t="s">
        <v>90</v>
      </c>
      <c r="D64" s="79" t="s">
        <v>4</v>
      </c>
      <c r="E64" s="79">
        <v>28000</v>
      </c>
      <c r="F64" s="79">
        <v>7000</v>
      </c>
      <c r="G64" s="106">
        <v>15000</v>
      </c>
      <c r="H64" s="108">
        <v>10000</v>
      </c>
      <c r="I64" s="141">
        <v>238.38191</v>
      </c>
      <c r="J64" s="71"/>
      <c r="K64" s="141">
        <f>2588.27771+I64</f>
        <v>2826.6596199999999</v>
      </c>
      <c r="L64" s="141"/>
      <c r="M64" s="85" t="s">
        <v>114</v>
      </c>
    </row>
    <row r="65" spans="1:13" ht="34.9" customHeight="1">
      <c r="A65" s="58" t="s">
        <v>39</v>
      </c>
      <c r="B65" s="212">
        <v>41572</v>
      </c>
      <c r="C65" s="212">
        <v>43463</v>
      </c>
      <c r="D65" s="158" t="s">
        <v>4</v>
      </c>
      <c r="E65" s="158">
        <f>25200+35000</f>
        <v>60200</v>
      </c>
      <c r="F65" s="52">
        <v>8000</v>
      </c>
      <c r="G65" s="107">
        <v>6400</v>
      </c>
      <c r="H65" s="109"/>
      <c r="I65" s="137">
        <v>666.02692999999999</v>
      </c>
      <c r="J65" s="137"/>
      <c r="K65" s="137">
        <f>92412.661955+I65</f>
        <v>93078.68888500001</v>
      </c>
      <c r="L65" s="137">
        <v>20950.680079999998</v>
      </c>
      <c r="M65" s="203" t="s">
        <v>102</v>
      </c>
    </row>
    <row r="66" spans="1:13" ht="46.5" customHeight="1">
      <c r="A66" s="58" t="s">
        <v>60</v>
      </c>
      <c r="B66" s="213"/>
      <c r="C66" s="213"/>
      <c r="D66" s="215"/>
      <c r="E66" s="215"/>
      <c r="F66" s="52"/>
      <c r="G66" s="107">
        <v>4700</v>
      </c>
      <c r="H66" s="109"/>
      <c r="I66" s="137">
        <v>3141.5256300000001</v>
      </c>
      <c r="J66" s="137"/>
      <c r="K66" s="137">
        <f>45219.89027+I66</f>
        <v>48361.415900000007</v>
      </c>
      <c r="L66" s="137"/>
      <c r="M66" s="203"/>
    </row>
    <row r="67" spans="1:13" ht="48" customHeight="1">
      <c r="A67" s="56" t="s">
        <v>63</v>
      </c>
      <c r="B67" s="214"/>
      <c r="C67" s="214"/>
      <c r="D67" s="159"/>
      <c r="E67" s="159"/>
      <c r="F67" s="52"/>
      <c r="G67" s="93"/>
      <c r="H67" s="94"/>
      <c r="I67" s="137"/>
      <c r="J67" s="139"/>
      <c r="K67" s="137">
        <v>5120.6747100000002</v>
      </c>
      <c r="L67" s="137"/>
      <c r="M67" s="80" t="s">
        <v>103</v>
      </c>
    </row>
    <row r="68" spans="1:13" ht="87" customHeight="1">
      <c r="A68" s="99" t="s">
        <v>123</v>
      </c>
      <c r="B68" s="101">
        <v>42838</v>
      </c>
      <c r="C68" s="101">
        <v>44742</v>
      </c>
      <c r="D68" s="98" t="s">
        <v>4</v>
      </c>
      <c r="E68" s="98">
        <v>125000</v>
      </c>
      <c r="F68" s="96"/>
      <c r="G68" s="107">
        <v>5000</v>
      </c>
      <c r="H68" s="109">
        <v>4000</v>
      </c>
      <c r="I68" s="137"/>
      <c r="J68" s="139"/>
      <c r="K68" s="137"/>
      <c r="L68" s="137"/>
      <c r="M68" s="100" t="s">
        <v>136</v>
      </c>
    </row>
    <row r="69" spans="1:13" ht="107.25" customHeight="1">
      <c r="A69" s="56" t="s">
        <v>40</v>
      </c>
      <c r="B69" s="160">
        <v>41885</v>
      </c>
      <c r="C69" s="160">
        <v>44378</v>
      </c>
      <c r="D69" s="52" t="s">
        <v>1</v>
      </c>
      <c r="E69" s="155">
        <v>60000</v>
      </c>
      <c r="F69" s="52"/>
      <c r="G69" s="107">
        <v>10000</v>
      </c>
      <c r="H69" s="109"/>
      <c r="I69" s="137"/>
      <c r="J69" s="139"/>
      <c r="K69" s="137">
        <f>112430.30228+I69</f>
        <v>112430.30228</v>
      </c>
      <c r="L69" s="137"/>
      <c r="M69" s="80" t="s">
        <v>104</v>
      </c>
    </row>
    <row r="70" spans="1:13" ht="50.25" customHeight="1">
      <c r="A70" s="56" t="s">
        <v>64</v>
      </c>
      <c r="B70" s="160"/>
      <c r="C70" s="160"/>
      <c r="D70" s="52" t="s">
        <v>1</v>
      </c>
      <c r="E70" s="211"/>
      <c r="F70" s="52"/>
      <c r="G70" s="107"/>
      <c r="H70" s="109"/>
      <c r="I70" s="137"/>
      <c r="J70" s="139"/>
      <c r="K70" s="137">
        <f>431.91864+I70</f>
        <v>431.91863999999998</v>
      </c>
      <c r="L70" s="137"/>
      <c r="M70" s="80" t="s">
        <v>105</v>
      </c>
    </row>
    <row r="71" spans="1:13" ht="153" customHeight="1">
      <c r="A71" s="99" t="s">
        <v>124</v>
      </c>
      <c r="B71" s="97"/>
      <c r="C71" s="97"/>
      <c r="D71" s="123" t="s">
        <v>4</v>
      </c>
      <c r="E71" s="107"/>
      <c r="F71" s="107"/>
      <c r="G71" s="107">
        <v>13500</v>
      </c>
      <c r="H71" s="109"/>
      <c r="I71" s="107"/>
      <c r="J71" s="112"/>
      <c r="K71" s="107"/>
      <c r="L71" s="96"/>
      <c r="M71" s="100" t="s">
        <v>125</v>
      </c>
    </row>
    <row r="72" spans="1:13" ht="78" customHeight="1">
      <c r="A72" s="99" t="s">
        <v>126</v>
      </c>
      <c r="B72" s="97"/>
      <c r="C72" s="97"/>
      <c r="D72" s="123" t="s">
        <v>1</v>
      </c>
      <c r="E72" s="107"/>
      <c r="F72" s="107"/>
      <c r="G72" s="107">
        <v>9000</v>
      </c>
      <c r="H72" s="109"/>
      <c r="I72" s="107"/>
      <c r="J72" s="112"/>
      <c r="K72" s="107"/>
      <c r="L72" s="97"/>
      <c r="M72" s="100" t="s">
        <v>127</v>
      </c>
    </row>
    <row r="73" spans="1:13" ht="108" customHeight="1">
      <c r="A73" s="99" t="s">
        <v>128</v>
      </c>
      <c r="B73" s="97"/>
      <c r="C73" s="97"/>
      <c r="D73" s="123" t="s">
        <v>4</v>
      </c>
      <c r="E73" s="107"/>
      <c r="F73" s="107"/>
      <c r="G73" s="107">
        <v>4500</v>
      </c>
      <c r="H73" s="109"/>
      <c r="I73" s="107"/>
      <c r="J73" s="112"/>
      <c r="K73" s="107"/>
      <c r="L73" s="97"/>
      <c r="M73" s="100" t="s">
        <v>129</v>
      </c>
    </row>
    <row r="74" spans="1:13" ht="57" customHeight="1">
      <c r="A74" s="118" t="s">
        <v>139</v>
      </c>
      <c r="B74" s="111"/>
      <c r="C74" s="28"/>
      <c r="D74" s="123" t="s">
        <v>4</v>
      </c>
      <c r="E74" s="107"/>
      <c r="F74" s="107"/>
      <c r="G74" s="107">
        <v>9500</v>
      </c>
      <c r="H74" s="109"/>
      <c r="I74" s="107"/>
      <c r="J74" s="112"/>
      <c r="K74" s="107"/>
      <c r="L74" s="109"/>
      <c r="M74" s="119" t="s">
        <v>141</v>
      </c>
    </row>
    <row r="75" spans="1:13" ht="48" customHeight="1" thickBot="1">
      <c r="A75" s="118" t="s">
        <v>140</v>
      </c>
      <c r="B75" s="111"/>
      <c r="C75" s="28"/>
      <c r="D75" s="123" t="s">
        <v>4</v>
      </c>
      <c r="E75" s="107"/>
      <c r="F75" s="107"/>
      <c r="G75" s="107">
        <v>9000</v>
      </c>
      <c r="H75" s="109"/>
      <c r="I75" s="107"/>
      <c r="J75" s="112"/>
      <c r="K75" s="107"/>
      <c r="L75" s="109"/>
      <c r="M75" s="119" t="s">
        <v>141</v>
      </c>
    </row>
    <row r="76" spans="1:13" s="7" customFormat="1" ht="55.5" customHeight="1" thickBot="1">
      <c r="A76" s="170" t="s">
        <v>26</v>
      </c>
      <c r="B76" s="171"/>
      <c r="C76" s="171"/>
      <c r="D76" s="171"/>
      <c r="E76" s="171"/>
      <c r="F76" s="172"/>
      <c r="G76" s="36">
        <f>G77+G80+G81</f>
        <v>19830</v>
      </c>
      <c r="H76" s="36">
        <f>SUM(H77:H82)</f>
        <v>4310</v>
      </c>
      <c r="I76" s="36">
        <f>SUM(I77:I82)</f>
        <v>4317.0615899999993</v>
      </c>
      <c r="J76" s="36">
        <f>SUM(J77:J82)</f>
        <v>768.51819</v>
      </c>
      <c r="K76" s="36">
        <f>SUM(K77:K82)</f>
        <v>70162.600756</v>
      </c>
      <c r="L76" s="36">
        <f>SUM(L77:L82)</f>
        <v>7372.001729999999</v>
      </c>
      <c r="M76" s="86"/>
    </row>
    <row r="77" spans="1:13" ht="90" customHeight="1">
      <c r="A77" s="210" t="s">
        <v>18</v>
      </c>
      <c r="B77" s="39">
        <v>42052</v>
      </c>
      <c r="C77" s="40">
        <v>43513</v>
      </c>
      <c r="D77" s="54" t="s">
        <v>0</v>
      </c>
      <c r="E77" s="54">
        <v>8610</v>
      </c>
      <c r="F77" s="54"/>
      <c r="G77" s="154">
        <v>6730</v>
      </c>
      <c r="H77" s="156">
        <v>4070</v>
      </c>
      <c r="I77" s="154">
        <v>2503.5361699999999</v>
      </c>
      <c r="J77" s="154">
        <v>768.51819</v>
      </c>
      <c r="K77" s="154">
        <f>16279.05301+I77</f>
        <v>18782.589179999999</v>
      </c>
      <c r="L77" s="154">
        <f>6102.55654+J77</f>
        <v>6871.0747299999994</v>
      </c>
      <c r="M77" s="207" t="s">
        <v>168</v>
      </c>
    </row>
    <row r="78" spans="1:13" ht="117.75" customHeight="1">
      <c r="A78" s="165"/>
      <c r="B78" s="28">
        <v>41978</v>
      </c>
      <c r="C78" s="41">
        <v>42735</v>
      </c>
      <c r="D78" s="52" t="s">
        <v>1</v>
      </c>
      <c r="E78" s="52"/>
      <c r="F78" s="52">
        <v>500</v>
      </c>
      <c r="G78" s="155"/>
      <c r="H78" s="157"/>
      <c r="I78" s="155"/>
      <c r="J78" s="155"/>
      <c r="K78" s="155"/>
      <c r="L78" s="155"/>
      <c r="M78" s="208"/>
    </row>
    <row r="79" spans="1:13" ht="128.25" customHeight="1">
      <c r="A79" s="165"/>
      <c r="B79" s="28">
        <v>42052</v>
      </c>
      <c r="C79" s="42">
        <v>43513</v>
      </c>
      <c r="D79" s="52" t="s">
        <v>1</v>
      </c>
      <c r="E79" s="52"/>
      <c r="F79" s="52">
        <v>5300</v>
      </c>
      <c r="G79" s="155"/>
      <c r="H79" s="157"/>
      <c r="I79" s="155"/>
      <c r="J79" s="155"/>
      <c r="K79" s="155"/>
      <c r="L79" s="155"/>
      <c r="M79" s="209"/>
    </row>
    <row r="80" spans="1:13" ht="59.25" customHeight="1">
      <c r="A80" s="165" t="s">
        <v>17</v>
      </c>
      <c r="B80" s="160">
        <v>41964</v>
      </c>
      <c r="C80" s="160">
        <v>44408</v>
      </c>
      <c r="D80" s="163" t="s">
        <v>0</v>
      </c>
      <c r="E80" s="155">
        <v>32400</v>
      </c>
      <c r="F80" s="155"/>
      <c r="G80" s="107">
        <v>11000</v>
      </c>
      <c r="H80" s="107"/>
      <c r="I80" s="137">
        <v>1310.93454</v>
      </c>
      <c r="J80" s="139"/>
      <c r="K80" s="137">
        <f>45181.823066+I80</f>
        <v>46492.757605999999</v>
      </c>
      <c r="L80" s="137"/>
      <c r="M80" s="142" t="s">
        <v>106</v>
      </c>
    </row>
    <row r="81" spans="1:13" ht="58.5" customHeight="1">
      <c r="A81" s="165"/>
      <c r="B81" s="160"/>
      <c r="C81" s="160"/>
      <c r="D81" s="163"/>
      <c r="E81" s="155"/>
      <c r="F81" s="155"/>
      <c r="G81" s="107">
        <v>2100</v>
      </c>
      <c r="H81" s="107"/>
      <c r="I81" s="137">
        <v>502.59088000000003</v>
      </c>
      <c r="J81" s="139"/>
      <c r="K81" s="137">
        <f>4384.66309+I81</f>
        <v>4887.2539699999998</v>
      </c>
      <c r="L81" s="137"/>
      <c r="M81" s="136" t="s">
        <v>107</v>
      </c>
    </row>
    <row r="82" spans="1:13" ht="75" customHeight="1" thickBot="1">
      <c r="A82" s="29" t="s">
        <v>21</v>
      </c>
      <c r="B82" s="30">
        <v>41946</v>
      </c>
      <c r="C82" s="43">
        <v>43190</v>
      </c>
      <c r="D82" s="37" t="s">
        <v>4</v>
      </c>
      <c r="E82" s="31"/>
      <c r="F82" s="31">
        <v>861</v>
      </c>
      <c r="G82" s="31"/>
      <c r="H82" s="68">
        <v>240</v>
      </c>
      <c r="I82" s="68"/>
      <c r="J82" s="31"/>
      <c r="K82" s="31"/>
      <c r="L82" s="31">
        <f>500.927+J82</f>
        <v>500.92700000000002</v>
      </c>
      <c r="M82" s="84" t="s">
        <v>152</v>
      </c>
    </row>
    <row r="83" spans="1:13" s="7" customFormat="1" ht="29.25" customHeight="1" thickBot="1">
      <c r="A83" s="167" t="s">
        <v>27</v>
      </c>
      <c r="B83" s="168"/>
      <c r="C83" s="168"/>
      <c r="D83" s="168"/>
      <c r="E83" s="168"/>
      <c r="F83" s="169"/>
      <c r="G83" s="38">
        <f t="shared" ref="G83:L83" si="4">SUM(G84:G85)</f>
        <v>0</v>
      </c>
      <c r="H83" s="38">
        <f t="shared" si="4"/>
        <v>4645</v>
      </c>
      <c r="I83" s="38">
        <f t="shared" si="4"/>
        <v>0</v>
      </c>
      <c r="J83" s="38">
        <f t="shared" si="4"/>
        <v>279.40028999999998</v>
      </c>
      <c r="K83" s="38">
        <f t="shared" si="4"/>
        <v>0</v>
      </c>
      <c r="L83" s="38">
        <f t="shared" si="4"/>
        <v>22342.2343</v>
      </c>
      <c r="M83" s="87"/>
    </row>
    <row r="84" spans="1:13" ht="162" customHeight="1">
      <c r="A84" s="55" t="s">
        <v>23</v>
      </c>
      <c r="B84" s="39">
        <v>40119</v>
      </c>
      <c r="C84" s="57">
        <v>43465</v>
      </c>
      <c r="D84" s="54" t="s">
        <v>4</v>
      </c>
      <c r="E84" s="54"/>
      <c r="F84" s="64">
        <v>2267</v>
      </c>
      <c r="G84" s="64"/>
      <c r="H84" s="108">
        <v>1345</v>
      </c>
      <c r="I84" s="106"/>
      <c r="J84" s="144">
        <v>85.019490000000005</v>
      </c>
      <c r="K84" s="141"/>
      <c r="L84" s="141">
        <f>6077.20889+J84</f>
        <v>6162.2283799999996</v>
      </c>
      <c r="M84" s="85" t="s">
        <v>108</v>
      </c>
    </row>
    <row r="85" spans="1:13" ht="169.5" customHeight="1" thickBot="1">
      <c r="A85" s="29" t="s">
        <v>16</v>
      </c>
      <c r="B85" s="43">
        <v>40589</v>
      </c>
      <c r="C85" s="43">
        <v>43100</v>
      </c>
      <c r="D85" s="37" t="s">
        <v>4</v>
      </c>
      <c r="E85" s="31"/>
      <c r="F85" s="31">
        <v>8250</v>
      </c>
      <c r="G85" s="31"/>
      <c r="H85" s="68">
        <v>3300</v>
      </c>
      <c r="I85" s="31"/>
      <c r="J85" s="31">
        <v>194.38079999999999</v>
      </c>
      <c r="K85" s="31"/>
      <c r="L85" s="31">
        <f>15985.62512+J85</f>
        <v>16180.005920000001</v>
      </c>
      <c r="M85" s="84" t="s">
        <v>109</v>
      </c>
    </row>
    <row r="86" spans="1:13" s="7" customFormat="1" ht="33" customHeight="1" thickBot="1">
      <c r="A86" s="170" t="s">
        <v>5</v>
      </c>
      <c r="B86" s="171"/>
      <c r="C86" s="171"/>
      <c r="D86" s="171"/>
      <c r="E86" s="171"/>
      <c r="F86" s="172"/>
      <c r="G86" s="36">
        <f t="shared" ref="G86:L86" si="5">SUM(G87:G92)</f>
        <v>146300</v>
      </c>
      <c r="H86" s="36">
        <f t="shared" si="5"/>
        <v>42900</v>
      </c>
      <c r="I86" s="36">
        <f t="shared" si="5"/>
        <v>3019.8341399999999</v>
      </c>
      <c r="J86" s="36">
        <f t="shared" si="5"/>
        <v>18483.176810000001</v>
      </c>
      <c r="K86" s="36">
        <f t="shared" si="5"/>
        <v>242442.16929999998</v>
      </c>
      <c r="L86" s="36">
        <f t="shared" si="5"/>
        <v>300282.08880139998</v>
      </c>
      <c r="M86" s="86"/>
    </row>
    <row r="87" spans="1:13" ht="321.75" customHeight="1">
      <c r="A87" s="55" t="s">
        <v>65</v>
      </c>
      <c r="B87" s="39">
        <v>41103</v>
      </c>
      <c r="C87" s="39">
        <v>43307</v>
      </c>
      <c r="D87" s="59" t="s">
        <v>1</v>
      </c>
      <c r="E87" s="54"/>
      <c r="F87" s="54">
        <f>140000+2700</f>
        <v>142700</v>
      </c>
      <c r="G87" s="92"/>
      <c r="H87" s="108">
        <v>38900</v>
      </c>
      <c r="I87" s="141"/>
      <c r="J87" s="144">
        <v>18483.176810000001</v>
      </c>
      <c r="K87" s="141"/>
      <c r="L87" s="141">
        <f>281798.9119914+J87</f>
        <v>300282.08880139998</v>
      </c>
      <c r="M87" s="85" t="s">
        <v>169</v>
      </c>
    </row>
    <row r="88" spans="1:13" ht="93" customHeight="1">
      <c r="A88" s="102" t="s">
        <v>53</v>
      </c>
      <c r="B88" s="51">
        <v>42661</v>
      </c>
      <c r="C88" s="51">
        <v>44377</v>
      </c>
      <c r="D88" s="52" t="s">
        <v>4</v>
      </c>
      <c r="E88" s="52">
        <v>14000</v>
      </c>
      <c r="F88" s="52"/>
      <c r="G88" s="107">
        <v>1500</v>
      </c>
      <c r="H88" s="109">
        <v>1000</v>
      </c>
      <c r="I88" s="137"/>
      <c r="J88" s="137"/>
      <c r="K88" s="137"/>
      <c r="L88" s="27">
        <v>0</v>
      </c>
      <c r="M88" s="80" t="s">
        <v>110</v>
      </c>
    </row>
    <row r="89" spans="1:13" ht="47.25" customHeight="1">
      <c r="A89" s="60" t="s">
        <v>42</v>
      </c>
      <c r="B89" s="48">
        <v>42346</v>
      </c>
      <c r="C89" s="48">
        <v>43228</v>
      </c>
      <c r="D89" s="49" t="s">
        <v>4</v>
      </c>
      <c r="E89" s="49">
        <v>82821</v>
      </c>
      <c r="F89" s="52"/>
      <c r="G89" s="107">
        <v>55000</v>
      </c>
      <c r="H89" s="109"/>
      <c r="I89" s="137"/>
      <c r="J89" s="137"/>
      <c r="K89" s="137">
        <f>226048.34892+I89</f>
        <v>226048.34891999999</v>
      </c>
      <c r="L89" s="137"/>
      <c r="M89" s="80" t="s">
        <v>70</v>
      </c>
    </row>
    <row r="90" spans="1:13" ht="52.15" customHeight="1">
      <c r="A90" s="61" t="s">
        <v>68</v>
      </c>
      <c r="B90" s="48">
        <v>42929</v>
      </c>
      <c r="C90" s="48">
        <v>43830</v>
      </c>
      <c r="D90" s="49" t="s">
        <v>4</v>
      </c>
      <c r="E90" s="49">
        <v>5500</v>
      </c>
      <c r="F90" s="52">
        <v>1500</v>
      </c>
      <c r="G90" s="107">
        <v>4800</v>
      </c>
      <c r="H90" s="109">
        <v>3000</v>
      </c>
      <c r="I90" s="137">
        <v>1017.89769</v>
      </c>
      <c r="J90" s="137"/>
      <c r="K90" s="137">
        <f>8749.28036+I90</f>
        <v>9767.1780500000004</v>
      </c>
      <c r="L90" s="27">
        <v>0</v>
      </c>
      <c r="M90" s="80" t="s">
        <v>153</v>
      </c>
    </row>
    <row r="91" spans="1:13" ht="37.9" customHeight="1">
      <c r="A91" s="61" t="s">
        <v>137</v>
      </c>
      <c r="B91" s="103"/>
      <c r="C91" s="103"/>
      <c r="D91" s="104"/>
      <c r="E91" s="104"/>
      <c r="F91" s="110"/>
      <c r="G91" s="110">
        <v>75000</v>
      </c>
      <c r="H91" s="104"/>
      <c r="I91" s="140"/>
      <c r="J91" s="140"/>
      <c r="K91" s="124"/>
      <c r="L91" s="124"/>
      <c r="M91" s="105" t="s">
        <v>141</v>
      </c>
    </row>
    <row r="92" spans="1:13" s="9" customFormat="1" ht="120" customHeight="1" thickBot="1">
      <c r="A92" s="29" t="s">
        <v>35</v>
      </c>
      <c r="B92" s="43">
        <v>42457</v>
      </c>
      <c r="C92" s="43">
        <v>44316</v>
      </c>
      <c r="D92" s="37" t="s">
        <v>1</v>
      </c>
      <c r="E92" s="31">
        <v>40000</v>
      </c>
      <c r="F92" s="31"/>
      <c r="G92" s="31">
        <v>10000</v>
      </c>
      <c r="H92" s="68"/>
      <c r="I92" s="31">
        <v>2001.9364499999999</v>
      </c>
      <c r="J92" s="31"/>
      <c r="K92" s="31">
        <f>4624.70588+I92</f>
        <v>6626.6423300000006</v>
      </c>
      <c r="L92" s="31"/>
      <c r="M92" s="84" t="s">
        <v>130</v>
      </c>
    </row>
    <row r="93" spans="1:13" s="6" customFormat="1" ht="40.5" customHeight="1" thickBot="1">
      <c r="A93" s="44"/>
      <c r="B93" s="45"/>
      <c r="C93" s="45"/>
      <c r="D93" s="46"/>
      <c r="E93" s="47"/>
      <c r="F93" s="38" t="s">
        <v>28</v>
      </c>
      <c r="G93" s="38">
        <f t="shared" ref="G93:L93" si="6">G86+G83+G76+G63+G54+G36+G7</f>
        <v>1301050</v>
      </c>
      <c r="H93" s="38">
        <f t="shared" si="6"/>
        <v>92700</v>
      </c>
      <c r="I93" s="38">
        <f t="shared" si="6"/>
        <v>99169.450429999997</v>
      </c>
      <c r="J93" s="38">
        <f t="shared" si="6"/>
        <v>23673.433000000005</v>
      </c>
      <c r="K93" s="38">
        <f t="shared" si="6"/>
        <v>4103598.0882549994</v>
      </c>
      <c r="L93" s="38">
        <f t="shared" si="6"/>
        <v>498594.63998140005</v>
      </c>
      <c r="M93" s="81"/>
    </row>
    <row r="94" spans="1:13" ht="13.5" customHeight="1">
      <c r="A94" s="10"/>
      <c r="B94" s="8"/>
      <c r="C94" s="8"/>
      <c r="D94" s="10"/>
      <c r="E94" s="10"/>
      <c r="F94" s="10"/>
      <c r="G94" s="10"/>
      <c r="H94" s="10"/>
      <c r="I94" s="10"/>
      <c r="J94" s="10"/>
      <c r="K94" s="10"/>
      <c r="L94" s="10"/>
    </row>
    <row r="95" spans="1:13" ht="24.75" customHeight="1">
      <c r="A95" s="166" t="s">
        <v>32</v>
      </c>
      <c r="B95" s="166"/>
      <c r="C95" s="166"/>
      <c r="D95" s="166"/>
      <c r="E95" s="166"/>
      <c r="F95" s="166"/>
      <c r="G95" s="166"/>
      <c r="H95" s="166"/>
      <c r="I95" s="166"/>
      <c r="J95" s="166"/>
      <c r="K95" s="166"/>
      <c r="L95" s="166"/>
    </row>
    <row r="96" spans="1:13" ht="24" customHeight="1">
      <c r="A96" s="1" t="s">
        <v>36</v>
      </c>
      <c r="B96" s="2"/>
      <c r="D96" s="1"/>
      <c r="E96" s="1"/>
      <c r="F96" s="1"/>
      <c r="H96" s="1"/>
      <c r="I96" s="1"/>
      <c r="J96" s="1"/>
      <c r="K96" s="1"/>
      <c r="L96" s="1"/>
    </row>
    <row r="97" spans="1:12">
      <c r="A97" s="1"/>
      <c r="B97" s="2"/>
      <c r="D97" s="1"/>
      <c r="E97" s="1"/>
      <c r="F97" s="1"/>
      <c r="H97" s="1"/>
      <c r="I97" s="1"/>
      <c r="J97" s="1"/>
      <c r="K97" s="1"/>
      <c r="L97" s="1"/>
    </row>
    <row r="98" spans="1:12" ht="39" customHeight="1">
      <c r="G98" s="11">
        <f>G93-'[1]For Website'!$G$95</f>
        <v>0</v>
      </c>
      <c r="H98" s="12">
        <f>H93-'[1]For Website'!$H$95</f>
        <v>0</v>
      </c>
      <c r="I98" s="12">
        <f>H93:I93-'[2]WEB-2019'!$I$93</f>
        <v>0</v>
      </c>
      <c r="J98" s="12">
        <f>J93-'[2]WEB-2019'!$J$93</f>
        <v>0</v>
      </c>
      <c r="K98" s="12">
        <f>K93-'[2]WEB-2019'!$K$93</f>
        <v>0</v>
      </c>
      <c r="L98" s="12">
        <f>L93-'[2]WEB-2019'!$L$93</f>
        <v>0</v>
      </c>
    </row>
    <row r="99" spans="1:12" ht="21.75" customHeight="1">
      <c r="G99" s="11"/>
      <c r="H99" s="12"/>
      <c r="I99" s="12"/>
      <c r="J99" s="12"/>
      <c r="K99" s="12"/>
      <c r="L99" s="12"/>
    </row>
  </sheetData>
  <mergeCells count="140">
    <mergeCell ref="M65:M66"/>
    <mergeCell ref="A10:A11"/>
    <mergeCell ref="A56:A57"/>
    <mergeCell ref="B56:B57"/>
    <mergeCell ref="C56:C57"/>
    <mergeCell ref="F56:F57"/>
    <mergeCell ref="H56:H57"/>
    <mergeCell ref="C40:C41"/>
    <mergeCell ref="A36:F36"/>
    <mergeCell ref="L29:L30"/>
    <mergeCell ref="I12:I13"/>
    <mergeCell ref="K29:K30"/>
    <mergeCell ref="J29:J30"/>
    <mergeCell ref="B65:B67"/>
    <mergeCell ref="C65:C67"/>
    <mergeCell ref="D65:D67"/>
    <mergeCell ref="E65:E67"/>
    <mergeCell ref="A14:A15"/>
    <mergeCell ref="B29:B30"/>
    <mergeCell ref="F29:F30"/>
    <mergeCell ref="G29:G30"/>
    <mergeCell ref="H29:H30"/>
    <mergeCell ref="I29:I30"/>
    <mergeCell ref="I14:I15"/>
    <mergeCell ref="L77:L79"/>
    <mergeCell ref="M77:M79"/>
    <mergeCell ref="A77:A79"/>
    <mergeCell ref="G77:G79"/>
    <mergeCell ref="H77:H79"/>
    <mergeCell ref="I77:I79"/>
    <mergeCell ref="J77:J79"/>
    <mergeCell ref="B69:B70"/>
    <mergeCell ref="C69:C70"/>
    <mergeCell ref="E69:E70"/>
    <mergeCell ref="M4:M5"/>
    <mergeCell ref="M8:M9"/>
    <mergeCell ref="M12:M13"/>
    <mergeCell ref="M29:M30"/>
    <mergeCell ref="M40:M41"/>
    <mergeCell ref="M10:M11"/>
    <mergeCell ref="M56:M57"/>
    <mergeCell ref="J56:J57"/>
    <mergeCell ref="G56:G57"/>
    <mergeCell ref="I56:I57"/>
    <mergeCell ref="K56:K57"/>
    <mergeCell ref="L56:L57"/>
    <mergeCell ref="I5:J5"/>
    <mergeCell ref="K5:L5"/>
    <mergeCell ref="K4:L4"/>
    <mergeCell ref="I4:J4"/>
    <mergeCell ref="L40:L41"/>
    <mergeCell ref="M43:M44"/>
    <mergeCell ref="J43:J44"/>
    <mergeCell ref="K43:K44"/>
    <mergeCell ref="L43:L44"/>
    <mergeCell ref="I40:I41"/>
    <mergeCell ref="G40:G41"/>
    <mergeCell ref="H40:H41"/>
    <mergeCell ref="A8:A9"/>
    <mergeCell ref="A29:A30"/>
    <mergeCell ref="G4:H4"/>
    <mergeCell ref="G5:H5"/>
    <mergeCell ref="C4:C5"/>
    <mergeCell ref="D4:F4"/>
    <mergeCell ref="A12:A13"/>
    <mergeCell ref="A4:A5"/>
    <mergeCell ref="B4:B5"/>
    <mergeCell ref="D5:F5"/>
    <mergeCell ref="A7:F7"/>
    <mergeCell ref="G10:G11"/>
    <mergeCell ref="G8:G9"/>
    <mergeCell ref="B10:B11"/>
    <mergeCell ref="C10:C11"/>
    <mergeCell ref="G12:G13"/>
    <mergeCell ref="C29:C30"/>
    <mergeCell ref="F12:F13"/>
    <mergeCell ref="B8:B9"/>
    <mergeCell ref="G14:G15"/>
    <mergeCell ref="B14:B15"/>
    <mergeCell ref="C14:C15"/>
    <mergeCell ref="A18:A19"/>
    <mergeCell ref="G18:G19"/>
    <mergeCell ref="A80:A81"/>
    <mergeCell ref="B80:B81"/>
    <mergeCell ref="C80:C81"/>
    <mergeCell ref="D80:D81"/>
    <mergeCell ref="E80:E81"/>
    <mergeCell ref="F80:F81"/>
    <mergeCell ref="A95:L95"/>
    <mergeCell ref="F40:F41"/>
    <mergeCell ref="A83:F83"/>
    <mergeCell ref="A86:F86"/>
    <mergeCell ref="J40:J41"/>
    <mergeCell ref="K40:K41"/>
    <mergeCell ref="A54:F54"/>
    <mergeCell ref="A63:F63"/>
    <mergeCell ref="A76:F76"/>
    <mergeCell ref="A40:A41"/>
    <mergeCell ref="B40:B41"/>
    <mergeCell ref="A43:A44"/>
    <mergeCell ref="B43:B44"/>
    <mergeCell ref="C43:C44"/>
    <mergeCell ref="G43:G44"/>
    <mergeCell ref="H43:H44"/>
    <mergeCell ref="I43:I44"/>
    <mergeCell ref="K77:K79"/>
    <mergeCell ref="B12:B13"/>
    <mergeCell ref="C8:C9"/>
    <mergeCell ref="C12:C13"/>
    <mergeCell ref="J10:J11"/>
    <mergeCell ref="I10:I11"/>
    <mergeCell ref="F8:F9"/>
    <mergeCell ref="K10:K11"/>
    <mergeCell ref="J8:J9"/>
    <mergeCell ref="H12:H13"/>
    <mergeCell ref="H10:H11"/>
    <mergeCell ref="B21:B23"/>
    <mergeCell ref="C21:C23"/>
    <mergeCell ref="D21:D23"/>
    <mergeCell ref="E21:E23"/>
    <mergeCell ref="M18:M19"/>
    <mergeCell ref="L8:L9"/>
    <mergeCell ref="L12:L13"/>
    <mergeCell ref="L10:L11"/>
    <mergeCell ref="H8:H9"/>
    <mergeCell ref="J12:J13"/>
    <mergeCell ref="I8:I9"/>
    <mergeCell ref="M14:M15"/>
    <mergeCell ref="L14:L15"/>
    <mergeCell ref="K14:K15"/>
    <mergeCell ref="F14:F15"/>
    <mergeCell ref="H14:H15"/>
    <mergeCell ref="J14:J15"/>
    <mergeCell ref="H18:H19"/>
    <mergeCell ref="I18:I19"/>
    <mergeCell ref="J18:J19"/>
    <mergeCell ref="K18:K19"/>
    <mergeCell ref="L18:L19"/>
    <mergeCell ref="K8:K9"/>
    <mergeCell ref="K12:K13"/>
  </mergeCells>
  <printOptions horizontalCentered="1"/>
  <pageMargins left="0" right="0" top="0.19685039370078741" bottom="0.23622047244094491" header="0" footer="0"/>
  <pageSetup paperSize="9" scale="35" fitToHeight="0" orientation="landscape" r:id="rId1"/>
  <headerFooter alignWithMargins="0"/>
  <rowBreaks count="1" manualBreakCount="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Anna Rusieshvili</cp:lastModifiedBy>
  <cp:lastPrinted>2019-04-25T10:56:40Z</cp:lastPrinted>
  <dcterms:created xsi:type="dcterms:W3CDTF">2011-04-14T08:42:21Z</dcterms:created>
  <dcterms:modified xsi:type="dcterms:W3CDTF">2019-04-25T10:57:37Z</dcterms:modified>
</cp:coreProperties>
</file>